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suario\Desktop\Nacho-toto-todo\Nacho\Gaceta\"/>
    </mc:Choice>
  </mc:AlternateContent>
  <xr:revisionPtr revIDLastSave="0" documentId="8_{EB97E5D0-EE07-4759-B589-3A860C7F091D}" xr6:coauthVersionLast="47" xr6:coauthVersionMax="47" xr10:uidLastSave="{00000000-0000-0000-0000-000000000000}"/>
  <bookViews>
    <workbookView xWindow="-108" yWindow="-108" windowWidth="23256" windowHeight="12576" xr2:uid="{00000000-000D-0000-FFFF-FFFF00000000}"/>
  </bookViews>
  <sheets>
    <sheet name="Índice anual" sheetId="1" r:id="rId1"/>
    <sheet name="Fuentes y criterio" sheetId="2" r:id="rId2"/>
  </sheets>
  <calcPr calcId="191029"/>
  <fileRecoveryPr repairLoad="1"/>
</workbook>
</file>

<file path=xl/calcChain.xml><?xml version="1.0" encoding="utf-8"?>
<calcChain xmlns="http://schemas.openxmlformats.org/spreadsheetml/2006/main">
  <c r="F163" i="2" l="1"/>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F5" i="2"/>
  <c r="J4028" i="1"/>
  <c r="J4027" i="1"/>
  <c r="J4026" i="1"/>
  <c r="J4025" i="1"/>
  <c r="J4024" i="1"/>
  <c r="J4023" i="1"/>
  <c r="J4022" i="1"/>
  <c r="J4021" i="1"/>
  <c r="J4020" i="1"/>
  <c r="J4019" i="1"/>
  <c r="J4018" i="1"/>
  <c r="J4017" i="1"/>
  <c r="J4016" i="1"/>
  <c r="J4015" i="1"/>
  <c r="J4014" i="1"/>
  <c r="J4013" i="1"/>
  <c r="J4012" i="1"/>
  <c r="J4011" i="1"/>
  <c r="J4010" i="1"/>
  <c r="J4009" i="1"/>
  <c r="J4008" i="1"/>
  <c r="J4007" i="1"/>
  <c r="J4006" i="1"/>
  <c r="J4005" i="1"/>
  <c r="J4004" i="1"/>
  <c r="J4003" i="1"/>
  <c r="J4002" i="1"/>
  <c r="J4001" i="1"/>
  <c r="J4000" i="1"/>
  <c r="J3999" i="1"/>
  <c r="J3998" i="1"/>
  <c r="J3997" i="1"/>
  <c r="J3996" i="1"/>
  <c r="J3995" i="1"/>
  <c r="J3994" i="1"/>
  <c r="J3993" i="1"/>
  <c r="J3992" i="1"/>
  <c r="J3991" i="1"/>
  <c r="J3990" i="1"/>
  <c r="J3989" i="1"/>
  <c r="J3988" i="1"/>
  <c r="J3987" i="1"/>
  <c r="J3986" i="1"/>
  <c r="J3985" i="1"/>
  <c r="J3984" i="1"/>
  <c r="J3983" i="1"/>
  <c r="J3982" i="1"/>
  <c r="J3981" i="1"/>
  <c r="J3980" i="1"/>
  <c r="J3979" i="1"/>
  <c r="J3978" i="1"/>
  <c r="J3977" i="1"/>
  <c r="J3976" i="1"/>
  <c r="J3975" i="1"/>
  <c r="J3974" i="1"/>
  <c r="J3973" i="1"/>
  <c r="J3972" i="1"/>
  <c r="J3971" i="1"/>
  <c r="J3970" i="1"/>
  <c r="J3969" i="1"/>
  <c r="J3968" i="1"/>
  <c r="J3967" i="1"/>
  <c r="J3966" i="1"/>
  <c r="J3965" i="1"/>
  <c r="J3964" i="1"/>
  <c r="J3963" i="1"/>
  <c r="J3962" i="1"/>
  <c r="J3961" i="1"/>
  <c r="J3960" i="1"/>
  <c r="J3959" i="1"/>
  <c r="J3958" i="1"/>
  <c r="J3957" i="1"/>
  <c r="J3956" i="1"/>
  <c r="J3955" i="1"/>
  <c r="J3954" i="1"/>
  <c r="J3953" i="1"/>
  <c r="J3952" i="1"/>
  <c r="J3951" i="1"/>
  <c r="J3950" i="1"/>
  <c r="J3949" i="1"/>
  <c r="J3948" i="1"/>
  <c r="J3947" i="1"/>
  <c r="J3946" i="1"/>
  <c r="J3945" i="1"/>
  <c r="J3944" i="1"/>
  <c r="J3943" i="1"/>
  <c r="J3942" i="1"/>
  <c r="J3941" i="1"/>
  <c r="J3940" i="1"/>
  <c r="J3939" i="1"/>
  <c r="J3938" i="1"/>
  <c r="J3937" i="1"/>
  <c r="J3936" i="1"/>
  <c r="J3935" i="1"/>
  <c r="J3934" i="1"/>
  <c r="J3933" i="1"/>
  <c r="J3932" i="1"/>
  <c r="J3931" i="1"/>
  <c r="J3930" i="1"/>
  <c r="J3929" i="1"/>
  <c r="J3928" i="1"/>
  <c r="J3927" i="1"/>
  <c r="J3926" i="1"/>
  <c r="J3925" i="1"/>
  <c r="J3924" i="1"/>
  <c r="J3923" i="1"/>
  <c r="J3922" i="1"/>
  <c r="J3921" i="1"/>
  <c r="J3920" i="1"/>
  <c r="J3919" i="1"/>
  <c r="J3918" i="1"/>
  <c r="J3917" i="1"/>
  <c r="J3916" i="1"/>
  <c r="J3915" i="1"/>
  <c r="J3914" i="1"/>
  <c r="J3913" i="1"/>
  <c r="J3912" i="1"/>
  <c r="J3911" i="1"/>
  <c r="J3910" i="1"/>
  <c r="J3909" i="1"/>
  <c r="J3908" i="1"/>
  <c r="J3907" i="1"/>
  <c r="J3906" i="1"/>
  <c r="J3905" i="1"/>
  <c r="J3904" i="1"/>
  <c r="J3903" i="1"/>
  <c r="J3902" i="1"/>
  <c r="J3901" i="1"/>
  <c r="J3900" i="1"/>
  <c r="J3899" i="1"/>
  <c r="J3898" i="1"/>
  <c r="J3897" i="1"/>
  <c r="J3896" i="1"/>
  <c r="J3895" i="1"/>
  <c r="J3894" i="1"/>
  <c r="J3893" i="1"/>
  <c r="J3892" i="1"/>
  <c r="J3891" i="1"/>
  <c r="J3890" i="1"/>
  <c r="J3889" i="1"/>
  <c r="J3888" i="1"/>
  <c r="J3887" i="1"/>
  <c r="J3886" i="1"/>
  <c r="J3885" i="1"/>
  <c r="J3884" i="1"/>
  <c r="J3883" i="1"/>
  <c r="J3882" i="1"/>
  <c r="J3881" i="1"/>
  <c r="J3880" i="1"/>
  <c r="J3879" i="1"/>
  <c r="J3878" i="1"/>
  <c r="J3877" i="1"/>
  <c r="J3876" i="1"/>
  <c r="J3875" i="1"/>
  <c r="J3874" i="1"/>
  <c r="J3873" i="1"/>
  <c r="J3872" i="1"/>
  <c r="J3871" i="1"/>
  <c r="J3870" i="1"/>
  <c r="J3869" i="1"/>
  <c r="J3868" i="1"/>
  <c r="J3867" i="1"/>
  <c r="J3866" i="1"/>
  <c r="J3865" i="1"/>
  <c r="J3864" i="1"/>
  <c r="J3863" i="1"/>
  <c r="J3862" i="1"/>
  <c r="J3861" i="1"/>
  <c r="J3860" i="1"/>
  <c r="J3859" i="1"/>
  <c r="J3858" i="1"/>
  <c r="J3857" i="1"/>
  <c r="J3856" i="1"/>
  <c r="J3855" i="1"/>
  <c r="J3854" i="1"/>
  <c r="J3853" i="1"/>
  <c r="J3852" i="1"/>
  <c r="J3851" i="1"/>
  <c r="J3850" i="1"/>
  <c r="J3849" i="1"/>
  <c r="J3848" i="1"/>
  <c r="J3847" i="1"/>
  <c r="J3846" i="1"/>
  <c r="J3845" i="1"/>
  <c r="J3844" i="1"/>
  <c r="J3843" i="1"/>
  <c r="J3842" i="1"/>
  <c r="J3841" i="1"/>
  <c r="J3840" i="1"/>
  <c r="J3839" i="1"/>
  <c r="J3838" i="1"/>
  <c r="J3837" i="1"/>
  <c r="J3836" i="1"/>
  <c r="J3835" i="1"/>
  <c r="J3834" i="1"/>
  <c r="J3833" i="1"/>
  <c r="J3832" i="1"/>
  <c r="J3831" i="1"/>
  <c r="J3830" i="1"/>
  <c r="J3829" i="1"/>
  <c r="J3828" i="1"/>
  <c r="J3827" i="1"/>
  <c r="J3826" i="1"/>
  <c r="J3825" i="1"/>
  <c r="J3824" i="1"/>
  <c r="J3823" i="1"/>
  <c r="J3822" i="1"/>
  <c r="J3821" i="1"/>
  <c r="J3820" i="1"/>
  <c r="J3819" i="1"/>
  <c r="J3818" i="1"/>
  <c r="J3817" i="1"/>
  <c r="J3816" i="1"/>
  <c r="J3815" i="1"/>
  <c r="J3814" i="1"/>
  <c r="J3813" i="1"/>
  <c r="J3812" i="1"/>
  <c r="J3811" i="1"/>
  <c r="J3810" i="1"/>
  <c r="J3809" i="1"/>
  <c r="J3808" i="1"/>
  <c r="J3807" i="1"/>
  <c r="J3806" i="1"/>
  <c r="J3805" i="1"/>
  <c r="J3804" i="1"/>
  <c r="J3803" i="1"/>
  <c r="J3802" i="1"/>
  <c r="J3801" i="1"/>
  <c r="J3800" i="1"/>
  <c r="J3799" i="1"/>
  <c r="J3798" i="1"/>
  <c r="J3797" i="1"/>
  <c r="J3796" i="1"/>
  <c r="J3795" i="1"/>
  <c r="J3794" i="1"/>
  <c r="J3793" i="1"/>
  <c r="J3792" i="1"/>
  <c r="J3791" i="1"/>
  <c r="J3790" i="1"/>
  <c r="J3789" i="1"/>
  <c r="J3788" i="1"/>
  <c r="J3787" i="1"/>
  <c r="J3786" i="1"/>
  <c r="J3785" i="1"/>
  <c r="J3784" i="1"/>
  <c r="J3783" i="1"/>
  <c r="J3782" i="1"/>
  <c r="J3781" i="1"/>
  <c r="J3780" i="1"/>
  <c r="J3779" i="1"/>
  <c r="J3778" i="1"/>
  <c r="J3777" i="1"/>
  <c r="J3776" i="1"/>
  <c r="J3775" i="1"/>
  <c r="J3774" i="1"/>
  <c r="J3773" i="1"/>
  <c r="J3772" i="1"/>
  <c r="J3771" i="1"/>
  <c r="J3770" i="1"/>
  <c r="J3769" i="1"/>
  <c r="J3768" i="1"/>
  <c r="J3767" i="1"/>
  <c r="J3766" i="1"/>
  <c r="J3765" i="1"/>
  <c r="J3764" i="1"/>
  <c r="J3763" i="1"/>
  <c r="J3762" i="1"/>
  <c r="J3761" i="1"/>
  <c r="J3760" i="1"/>
  <c r="J3759" i="1"/>
  <c r="J3758" i="1"/>
  <c r="J3757" i="1"/>
  <c r="J3756" i="1"/>
  <c r="J3755" i="1"/>
  <c r="J3754" i="1"/>
  <c r="J3753" i="1"/>
  <c r="J3752" i="1"/>
  <c r="J3751" i="1"/>
  <c r="J3750" i="1"/>
  <c r="J3749" i="1"/>
  <c r="J3748" i="1"/>
  <c r="J3747" i="1"/>
  <c r="J3746" i="1"/>
  <c r="J3745" i="1"/>
  <c r="J3744" i="1"/>
  <c r="J3743" i="1"/>
  <c r="J3742" i="1"/>
  <c r="J3741" i="1"/>
  <c r="J3740" i="1"/>
  <c r="J3739" i="1"/>
  <c r="J3738" i="1"/>
  <c r="J3737" i="1"/>
  <c r="J3736" i="1"/>
  <c r="J3735" i="1"/>
  <c r="J3734" i="1"/>
  <c r="J3733" i="1"/>
  <c r="J3732" i="1"/>
  <c r="J3731" i="1"/>
  <c r="J3730" i="1"/>
  <c r="J3729" i="1"/>
  <c r="J3728" i="1"/>
  <c r="J3727" i="1"/>
  <c r="J3726" i="1"/>
  <c r="J3725" i="1"/>
  <c r="J3724" i="1"/>
  <c r="J3723" i="1"/>
  <c r="J3722" i="1"/>
  <c r="J3721" i="1"/>
  <c r="J3720" i="1"/>
  <c r="J3719" i="1"/>
  <c r="J3718" i="1"/>
  <c r="J3717" i="1"/>
  <c r="J3716" i="1"/>
  <c r="J3715" i="1"/>
  <c r="J3714" i="1"/>
  <c r="J3713" i="1"/>
  <c r="J3712" i="1"/>
  <c r="J3711" i="1"/>
  <c r="J3710" i="1"/>
  <c r="J3709" i="1"/>
  <c r="J3708" i="1"/>
  <c r="J3707" i="1"/>
  <c r="J3706" i="1"/>
  <c r="J3705" i="1"/>
  <c r="J3704" i="1"/>
  <c r="J3703" i="1"/>
  <c r="J3702" i="1"/>
  <c r="J3701" i="1"/>
  <c r="J3700" i="1"/>
  <c r="J3699" i="1"/>
  <c r="J3698" i="1"/>
  <c r="J3697" i="1"/>
  <c r="J3696" i="1"/>
  <c r="J3695" i="1"/>
  <c r="J3694" i="1"/>
  <c r="J3693" i="1"/>
  <c r="J3692" i="1"/>
  <c r="J3691" i="1"/>
  <c r="J3690" i="1"/>
  <c r="J3689" i="1"/>
  <c r="J3688" i="1"/>
  <c r="J3687" i="1"/>
  <c r="J3686" i="1"/>
  <c r="J3685" i="1"/>
  <c r="J3684" i="1"/>
  <c r="J3683" i="1"/>
  <c r="J3682" i="1"/>
  <c r="J3681" i="1"/>
  <c r="J3680" i="1"/>
  <c r="J3679" i="1"/>
  <c r="J3678" i="1"/>
  <c r="J3677" i="1"/>
  <c r="J3676" i="1"/>
  <c r="J3675" i="1"/>
  <c r="J3674" i="1"/>
  <c r="J3673" i="1"/>
  <c r="J3672" i="1"/>
  <c r="J3671" i="1"/>
  <c r="J3670" i="1"/>
  <c r="J3669" i="1"/>
  <c r="J3668" i="1"/>
  <c r="J3667" i="1"/>
  <c r="J3666" i="1"/>
  <c r="J3665" i="1"/>
  <c r="J3664" i="1"/>
  <c r="J3663" i="1"/>
  <c r="J3662" i="1"/>
  <c r="J3661" i="1"/>
  <c r="J3660" i="1"/>
  <c r="J3659" i="1"/>
  <c r="J3658" i="1"/>
  <c r="J3657" i="1"/>
  <c r="J3656" i="1"/>
  <c r="J3655" i="1"/>
  <c r="J3654" i="1"/>
  <c r="J3653" i="1"/>
  <c r="J3652" i="1"/>
  <c r="J3651" i="1"/>
  <c r="J3650" i="1"/>
  <c r="J3649" i="1"/>
  <c r="J3648" i="1"/>
  <c r="J3647" i="1"/>
  <c r="J3646" i="1"/>
  <c r="J3645" i="1"/>
  <c r="J3644" i="1"/>
  <c r="J3643" i="1"/>
  <c r="J3642" i="1"/>
  <c r="J3641" i="1"/>
  <c r="J3640" i="1"/>
  <c r="J3639" i="1"/>
  <c r="J3638" i="1"/>
  <c r="J3637" i="1"/>
  <c r="J3636" i="1"/>
  <c r="J3635" i="1"/>
  <c r="J3634" i="1"/>
  <c r="J3633" i="1"/>
  <c r="J3632" i="1"/>
  <c r="J3631" i="1"/>
  <c r="J3630" i="1"/>
  <c r="J3629" i="1"/>
  <c r="J3628" i="1"/>
  <c r="J3627" i="1"/>
  <c r="J3626" i="1"/>
  <c r="J3625" i="1"/>
  <c r="J3624" i="1"/>
  <c r="J3623" i="1"/>
  <c r="J3622" i="1"/>
  <c r="J3621" i="1"/>
  <c r="J3620" i="1"/>
  <c r="J3619" i="1"/>
  <c r="J3618" i="1"/>
  <c r="J3617" i="1"/>
  <c r="J3616" i="1"/>
  <c r="J3615" i="1"/>
  <c r="J3614" i="1"/>
  <c r="J3613" i="1"/>
  <c r="J3612" i="1"/>
  <c r="J3611" i="1"/>
  <c r="J3610" i="1"/>
  <c r="J3609" i="1"/>
  <c r="J3608" i="1"/>
  <c r="J3607" i="1"/>
  <c r="J3606" i="1"/>
  <c r="J3605" i="1"/>
  <c r="J3604" i="1"/>
  <c r="J3603" i="1"/>
  <c r="J3602" i="1"/>
  <c r="J3601" i="1"/>
  <c r="J3600" i="1"/>
  <c r="J3599" i="1"/>
  <c r="J3598" i="1"/>
  <c r="J3597" i="1"/>
  <c r="J3596" i="1"/>
  <c r="J3595" i="1"/>
  <c r="J3594" i="1"/>
  <c r="J3593" i="1"/>
  <c r="J3592" i="1"/>
  <c r="J3591" i="1"/>
  <c r="J3590" i="1"/>
  <c r="J3589" i="1"/>
  <c r="J3588" i="1"/>
  <c r="J3587" i="1"/>
  <c r="J3586" i="1"/>
  <c r="J3585" i="1"/>
  <c r="J3584" i="1"/>
  <c r="J3583" i="1"/>
  <c r="J3582" i="1"/>
  <c r="J3581" i="1"/>
  <c r="J3580" i="1"/>
  <c r="J3579" i="1"/>
  <c r="J3578" i="1"/>
  <c r="J3577" i="1"/>
  <c r="J3576" i="1"/>
  <c r="J3575" i="1"/>
  <c r="J3574" i="1"/>
  <c r="J3573" i="1"/>
  <c r="J3572" i="1"/>
  <c r="J3571" i="1"/>
  <c r="J3570" i="1"/>
  <c r="J3569" i="1"/>
  <c r="J3568" i="1"/>
  <c r="J3567" i="1"/>
  <c r="J3566" i="1"/>
  <c r="J3565" i="1"/>
  <c r="J3564" i="1"/>
  <c r="J3563" i="1"/>
  <c r="J3562" i="1"/>
  <c r="J3561" i="1"/>
  <c r="J3560" i="1"/>
  <c r="J3559" i="1"/>
  <c r="J3558" i="1"/>
  <c r="J3557" i="1"/>
  <c r="J3556" i="1"/>
  <c r="J3555" i="1"/>
  <c r="J3554" i="1"/>
  <c r="J3553" i="1"/>
  <c r="J3552" i="1"/>
  <c r="J3551" i="1"/>
  <c r="J3550" i="1"/>
  <c r="J3549" i="1"/>
  <c r="J3548" i="1"/>
  <c r="J3547" i="1"/>
  <c r="J3546" i="1"/>
  <c r="J3545" i="1"/>
  <c r="J3544" i="1"/>
  <c r="J3543" i="1"/>
  <c r="J3542" i="1"/>
  <c r="J3541" i="1"/>
  <c r="J3540" i="1"/>
  <c r="J3539" i="1"/>
  <c r="J3538" i="1"/>
  <c r="J3537" i="1"/>
  <c r="J3536" i="1"/>
  <c r="J3535" i="1"/>
  <c r="J3534" i="1"/>
  <c r="J3533" i="1"/>
  <c r="J3532" i="1"/>
  <c r="J3531" i="1"/>
  <c r="J3530" i="1"/>
  <c r="J3529" i="1"/>
  <c r="J3528" i="1"/>
  <c r="J3527" i="1"/>
  <c r="J3526" i="1"/>
  <c r="J3525" i="1"/>
  <c r="J3524" i="1"/>
  <c r="J3523" i="1"/>
  <c r="J3522" i="1"/>
  <c r="J3521" i="1"/>
  <c r="J3520" i="1"/>
  <c r="J3519" i="1"/>
  <c r="J3518" i="1"/>
  <c r="J3517" i="1"/>
  <c r="J3516" i="1"/>
  <c r="J3515" i="1"/>
  <c r="J3514" i="1"/>
  <c r="J3513" i="1"/>
  <c r="J3512" i="1"/>
  <c r="J3511" i="1"/>
  <c r="J3510" i="1"/>
  <c r="J3509" i="1"/>
  <c r="J3508" i="1"/>
  <c r="J3507" i="1"/>
  <c r="J3506" i="1"/>
  <c r="J3505" i="1"/>
  <c r="J3504" i="1"/>
  <c r="J3503" i="1"/>
  <c r="J3502" i="1"/>
  <c r="J3501" i="1"/>
  <c r="J3500" i="1"/>
  <c r="J3499" i="1"/>
  <c r="J3498" i="1"/>
  <c r="J3497" i="1"/>
  <c r="J3496" i="1"/>
  <c r="J3495" i="1"/>
  <c r="J3494" i="1"/>
  <c r="J3493" i="1"/>
  <c r="J3492" i="1"/>
  <c r="J3491" i="1"/>
  <c r="J3490" i="1"/>
  <c r="J3489" i="1"/>
  <c r="J3488" i="1"/>
  <c r="J3487" i="1"/>
  <c r="J3486" i="1"/>
  <c r="J3485" i="1"/>
  <c r="J3484" i="1"/>
  <c r="J3483" i="1"/>
  <c r="J3482" i="1"/>
  <c r="J3481" i="1"/>
  <c r="J3480" i="1"/>
  <c r="J3479" i="1"/>
  <c r="J3478" i="1"/>
  <c r="J3477" i="1"/>
  <c r="J3476" i="1"/>
  <c r="J3475" i="1"/>
  <c r="J3474" i="1"/>
  <c r="J3473" i="1"/>
  <c r="J3472" i="1"/>
  <c r="J3471" i="1"/>
  <c r="J3470" i="1"/>
  <c r="J3469" i="1"/>
  <c r="J3468" i="1"/>
  <c r="J3467" i="1"/>
  <c r="J3466" i="1"/>
  <c r="J3465" i="1"/>
  <c r="J3464" i="1"/>
  <c r="J3463" i="1"/>
  <c r="J3462" i="1"/>
  <c r="J3461" i="1"/>
  <c r="J3460" i="1"/>
  <c r="J3459" i="1"/>
  <c r="J3458" i="1"/>
  <c r="J3457" i="1"/>
  <c r="J3456" i="1"/>
  <c r="J3455" i="1"/>
  <c r="J3454" i="1"/>
  <c r="J3453" i="1"/>
  <c r="J3452" i="1"/>
  <c r="J3451" i="1"/>
  <c r="J3450" i="1"/>
  <c r="J3449" i="1"/>
  <c r="J3448" i="1"/>
  <c r="J3447" i="1"/>
  <c r="J3446" i="1"/>
  <c r="J3445" i="1"/>
  <c r="J3444" i="1"/>
  <c r="J3443" i="1"/>
  <c r="J3442" i="1"/>
  <c r="J3441" i="1"/>
  <c r="J3440" i="1"/>
  <c r="J3439" i="1"/>
  <c r="J3438" i="1"/>
  <c r="J3437" i="1"/>
  <c r="J3436" i="1"/>
  <c r="J3435" i="1"/>
  <c r="J3434" i="1"/>
  <c r="J3433" i="1"/>
  <c r="J3432" i="1"/>
  <c r="J3431" i="1"/>
  <c r="J3430" i="1"/>
  <c r="J3429" i="1"/>
  <c r="J3428" i="1"/>
  <c r="J3427" i="1"/>
  <c r="J3426" i="1"/>
  <c r="J3425" i="1"/>
  <c r="J3424" i="1"/>
  <c r="J3423" i="1"/>
  <c r="J3422" i="1"/>
  <c r="J3421" i="1"/>
  <c r="J3420" i="1"/>
  <c r="J3419" i="1"/>
  <c r="J3418" i="1"/>
  <c r="J3417" i="1"/>
  <c r="J3416" i="1"/>
  <c r="J3415" i="1"/>
  <c r="J3414" i="1"/>
  <c r="J3413" i="1"/>
  <c r="J3412" i="1"/>
  <c r="J3411" i="1"/>
  <c r="J3410" i="1"/>
  <c r="J3409" i="1"/>
  <c r="J3408" i="1"/>
  <c r="J3407" i="1"/>
  <c r="J3406" i="1"/>
  <c r="J3405" i="1"/>
  <c r="J3404" i="1"/>
  <c r="J3403" i="1"/>
  <c r="J3402" i="1"/>
  <c r="J3401" i="1"/>
  <c r="J3400" i="1"/>
  <c r="J3399" i="1"/>
  <c r="J3398" i="1"/>
  <c r="J3397" i="1"/>
  <c r="J3396" i="1"/>
  <c r="J3395" i="1"/>
  <c r="J3394" i="1"/>
  <c r="J3393" i="1"/>
  <c r="J3392" i="1"/>
  <c r="J3391" i="1"/>
  <c r="J3390" i="1"/>
  <c r="J3389" i="1"/>
  <c r="J3388" i="1"/>
  <c r="J3387" i="1"/>
  <c r="J3386" i="1"/>
  <c r="J3385" i="1"/>
  <c r="J3384" i="1"/>
  <c r="J3383" i="1"/>
  <c r="J3382" i="1"/>
  <c r="J3381" i="1"/>
  <c r="J3380" i="1"/>
  <c r="J3379" i="1"/>
  <c r="J3378" i="1"/>
  <c r="J3377" i="1"/>
  <c r="J3376" i="1"/>
  <c r="J3375" i="1"/>
  <c r="J3374" i="1"/>
  <c r="J3373" i="1"/>
  <c r="J3372" i="1"/>
  <c r="J3371" i="1"/>
  <c r="J3370" i="1"/>
  <c r="J3369" i="1"/>
  <c r="J3368" i="1"/>
  <c r="J3367" i="1"/>
  <c r="J3366" i="1"/>
  <c r="J3365" i="1"/>
  <c r="J3364" i="1"/>
  <c r="J3363" i="1"/>
  <c r="J3362" i="1"/>
  <c r="J3361" i="1"/>
  <c r="J3360" i="1"/>
  <c r="J3359" i="1"/>
  <c r="J3358" i="1"/>
  <c r="J3357" i="1"/>
  <c r="J3356" i="1"/>
  <c r="J3355" i="1"/>
  <c r="J3354" i="1"/>
  <c r="J3353" i="1"/>
  <c r="J3352" i="1"/>
  <c r="J3351" i="1"/>
  <c r="J3350" i="1"/>
  <c r="J3349" i="1"/>
  <c r="J3348" i="1"/>
  <c r="J3347" i="1"/>
  <c r="J3346" i="1"/>
  <c r="J3345" i="1"/>
  <c r="J3344" i="1"/>
  <c r="J3343" i="1"/>
  <c r="J3342" i="1"/>
  <c r="J3341" i="1"/>
  <c r="J3340" i="1"/>
  <c r="J3339" i="1"/>
  <c r="J3338" i="1"/>
  <c r="J3337" i="1"/>
  <c r="J3336" i="1"/>
  <c r="J3335" i="1"/>
  <c r="J3334" i="1"/>
  <c r="J3333" i="1"/>
  <c r="J3332" i="1"/>
  <c r="J3331" i="1"/>
  <c r="J3330" i="1"/>
  <c r="J3329" i="1"/>
  <c r="J3328" i="1"/>
  <c r="J3327" i="1"/>
  <c r="J3326" i="1"/>
  <c r="J3325" i="1"/>
  <c r="J3324" i="1"/>
  <c r="J3323" i="1"/>
  <c r="J3322" i="1"/>
  <c r="J3321" i="1"/>
  <c r="J3320" i="1"/>
  <c r="J3319" i="1"/>
  <c r="J3318" i="1"/>
  <c r="J3317" i="1"/>
  <c r="J3316" i="1"/>
  <c r="J3315" i="1"/>
  <c r="J3314" i="1"/>
  <c r="J3313" i="1"/>
  <c r="J3312" i="1"/>
  <c r="J3311" i="1"/>
  <c r="J3310" i="1"/>
  <c r="J3309" i="1"/>
  <c r="J3308" i="1"/>
  <c r="J3307" i="1"/>
  <c r="J3306" i="1"/>
  <c r="J3305" i="1"/>
  <c r="J3304" i="1"/>
  <c r="J3303" i="1"/>
  <c r="J3302" i="1"/>
  <c r="J3301" i="1"/>
  <c r="J3300" i="1"/>
  <c r="J3299" i="1"/>
  <c r="J3298" i="1"/>
  <c r="J3297" i="1"/>
  <c r="J3296" i="1"/>
  <c r="J3295" i="1"/>
  <c r="J3294" i="1"/>
  <c r="J3293" i="1"/>
  <c r="J3292" i="1"/>
  <c r="J3291" i="1"/>
  <c r="J3290" i="1"/>
  <c r="J3289" i="1"/>
  <c r="J3288" i="1"/>
  <c r="J3287" i="1"/>
  <c r="J3286" i="1"/>
  <c r="J3285" i="1"/>
  <c r="J3284" i="1"/>
  <c r="J3283" i="1"/>
  <c r="J3282" i="1"/>
  <c r="J3281" i="1"/>
  <c r="J3280" i="1"/>
  <c r="J3279" i="1"/>
  <c r="J3278" i="1"/>
  <c r="J3277" i="1"/>
  <c r="J3276" i="1"/>
  <c r="J3275" i="1"/>
  <c r="J3274" i="1"/>
  <c r="J3273" i="1"/>
  <c r="J3272" i="1"/>
  <c r="J3271" i="1"/>
  <c r="J3270" i="1"/>
  <c r="J3269" i="1"/>
  <c r="J3268" i="1"/>
  <c r="J3267" i="1"/>
  <c r="J3266" i="1"/>
  <c r="J3265" i="1"/>
  <c r="J3264" i="1"/>
  <c r="J3263" i="1"/>
  <c r="J3262" i="1"/>
  <c r="J3261" i="1"/>
  <c r="J3260" i="1"/>
  <c r="J3259" i="1"/>
  <c r="J3258" i="1"/>
  <c r="J3257" i="1"/>
  <c r="J3256" i="1"/>
  <c r="J3255" i="1"/>
  <c r="J3254" i="1"/>
  <c r="J3253" i="1"/>
  <c r="J3252" i="1"/>
  <c r="J3251" i="1"/>
  <c r="J3250" i="1"/>
  <c r="J3249" i="1"/>
  <c r="J3248" i="1"/>
  <c r="J3247" i="1"/>
  <c r="J3246" i="1"/>
  <c r="J3245" i="1"/>
  <c r="J3244" i="1"/>
  <c r="J3243" i="1"/>
  <c r="J3242" i="1"/>
  <c r="J3241" i="1"/>
  <c r="J3240" i="1"/>
  <c r="J3239" i="1"/>
  <c r="J3238" i="1"/>
  <c r="J3237" i="1"/>
  <c r="J3236" i="1"/>
  <c r="J3235" i="1"/>
  <c r="J3234" i="1"/>
  <c r="J3233" i="1"/>
  <c r="J3232" i="1"/>
  <c r="J3231" i="1"/>
  <c r="J3230" i="1"/>
  <c r="J3229" i="1"/>
  <c r="J3228" i="1"/>
  <c r="J3227" i="1"/>
  <c r="J3226" i="1"/>
  <c r="J3225" i="1"/>
  <c r="J3224" i="1"/>
  <c r="J3223" i="1"/>
  <c r="J3222" i="1"/>
  <c r="J3221" i="1"/>
  <c r="J3220" i="1"/>
  <c r="J3219" i="1"/>
  <c r="J3218" i="1"/>
  <c r="J3217" i="1"/>
  <c r="J3216" i="1"/>
  <c r="J3215" i="1"/>
  <c r="J3214" i="1"/>
  <c r="J3213" i="1"/>
  <c r="J3212" i="1"/>
  <c r="J3211" i="1"/>
  <c r="J3210" i="1"/>
  <c r="J3209" i="1"/>
  <c r="J3208" i="1"/>
  <c r="J3207" i="1"/>
  <c r="J3206" i="1"/>
  <c r="J3205" i="1"/>
  <c r="J3204" i="1"/>
  <c r="J3203" i="1"/>
  <c r="J3202" i="1"/>
  <c r="J3201" i="1"/>
  <c r="J3200" i="1"/>
  <c r="J3199" i="1"/>
  <c r="J3198" i="1"/>
  <c r="J3197" i="1"/>
  <c r="J3196" i="1"/>
  <c r="J3195" i="1"/>
  <c r="J3194" i="1"/>
  <c r="J3193" i="1"/>
  <c r="J3192" i="1"/>
  <c r="J3191" i="1"/>
  <c r="J3190" i="1"/>
  <c r="J3189" i="1"/>
  <c r="J3188" i="1"/>
  <c r="J3187" i="1"/>
  <c r="J3186" i="1"/>
  <c r="J3185" i="1"/>
  <c r="J3184" i="1"/>
  <c r="J3183" i="1"/>
  <c r="J3182" i="1"/>
  <c r="J3181" i="1"/>
  <c r="J3180" i="1"/>
  <c r="J3179" i="1"/>
  <c r="J3178" i="1"/>
  <c r="J3177" i="1"/>
  <c r="J3176" i="1"/>
  <c r="J3175" i="1"/>
  <c r="J3174" i="1"/>
  <c r="J3173" i="1"/>
  <c r="J3172" i="1"/>
  <c r="J3171" i="1"/>
  <c r="J3170" i="1"/>
  <c r="J3169" i="1"/>
  <c r="J3168" i="1"/>
  <c r="J3167" i="1"/>
  <c r="J3166" i="1"/>
  <c r="J3165" i="1"/>
  <c r="J3164" i="1"/>
  <c r="J3163" i="1"/>
  <c r="J3162" i="1"/>
  <c r="J3161" i="1"/>
  <c r="J3160" i="1"/>
  <c r="J3159" i="1"/>
  <c r="J3158" i="1"/>
  <c r="J3157" i="1"/>
  <c r="J3156" i="1"/>
  <c r="J3155" i="1"/>
  <c r="J3154" i="1"/>
  <c r="J3153" i="1"/>
  <c r="J3152" i="1"/>
  <c r="J3151" i="1"/>
  <c r="J3150" i="1"/>
  <c r="J3149" i="1"/>
  <c r="J3148" i="1"/>
  <c r="J3147" i="1"/>
  <c r="J3146" i="1"/>
  <c r="J3145" i="1"/>
  <c r="J3144" i="1"/>
  <c r="J3143" i="1"/>
  <c r="J3142" i="1"/>
  <c r="J3141" i="1"/>
  <c r="J3140" i="1"/>
  <c r="J3139" i="1"/>
  <c r="J3138" i="1"/>
  <c r="J3137" i="1"/>
  <c r="J3136" i="1"/>
  <c r="J3135" i="1"/>
  <c r="J3134" i="1"/>
  <c r="J3133" i="1"/>
  <c r="J3132" i="1"/>
  <c r="J3131" i="1"/>
  <c r="J3130" i="1"/>
  <c r="J3129" i="1"/>
  <c r="J3128" i="1"/>
  <c r="J3127" i="1"/>
  <c r="J3126" i="1"/>
  <c r="J3125" i="1"/>
  <c r="J3124" i="1"/>
  <c r="J3123" i="1"/>
  <c r="J3122" i="1"/>
  <c r="J3121" i="1"/>
  <c r="J3120" i="1"/>
  <c r="J3119" i="1"/>
  <c r="J3118" i="1"/>
  <c r="J3117" i="1"/>
  <c r="J3116" i="1"/>
  <c r="J3115" i="1"/>
  <c r="J3114" i="1"/>
  <c r="J3113" i="1"/>
  <c r="J3112" i="1"/>
  <c r="J3111" i="1"/>
  <c r="J3110" i="1"/>
  <c r="J3109" i="1"/>
  <c r="J3108" i="1"/>
  <c r="J3107" i="1"/>
  <c r="J3106" i="1"/>
  <c r="J3105" i="1"/>
  <c r="J3104" i="1"/>
  <c r="J3103" i="1"/>
  <c r="J3102" i="1"/>
  <c r="J3101" i="1"/>
  <c r="J3100" i="1"/>
  <c r="J3099" i="1"/>
  <c r="J3098" i="1"/>
  <c r="J3097" i="1"/>
  <c r="J3096" i="1"/>
  <c r="J3095" i="1"/>
  <c r="J3094" i="1"/>
  <c r="J3093" i="1"/>
  <c r="J3092" i="1"/>
  <c r="J3091" i="1"/>
  <c r="J3090" i="1"/>
  <c r="J3089" i="1"/>
  <c r="J3088" i="1"/>
  <c r="J3087" i="1"/>
  <c r="J3086" i="1"/>
  <c r="J3085" i="1"/>
  <c r="J3084" i="1"/>
  <c r="J3083" i="1"/>
  <c r="J3082" i="1"/>
  <c r="J3081" i="1"/>
  <c r="J3080" i="1"/>
  <c r="J3079" i="1"/>
  <c r="J3078" i="1"/>
  <c r="J3077" i="1"/>
  <c r="J3076" i="1"/>
  <c r="J3075" i="1"/>
  <c r="J3074" i="1"/>
  <c r="J3073" i="1"/>
  <c r="J3072" i="1"/>
  <c r="J3071" i="1"/>
  <c r="J3070" i="1"/>
  <c r="J3069" i="1"/>
  <c r="J3068" i="1"/>
  <c r="J3067" i="1"/>
  <c r="J3066" i="1"/>
  <c r="J3065" i="1"/>
  <c r="J3064" i="1"/>
  <c r="J3063" i="1"/>
  <c r="J3062" i="1"/>
  <c r="J3061" i="1"/>
  <c r="J3060" i="1"/>
  <c r="J3059" i="1"/>
  <c r="J3058" i="1"/>
  <c r="J3057" i="1"/>
  <c r="J3056" i="1"/>
  <c r="J3055" i="1"/>
  <c r="J3054" i="1"/>
  <c r="J3053" i="1"/>
  <c r="J3052" i="1"/>
  <c r="J3051" i="1"/>
  <c r="J3050" i="1"/>
  <c r="J3049" i="1"/>
  <c r="J3048" i="1"/>
  <c r="J3047" i="1"/>
  <c r="J3046" i="1"/>
  <c r="J3045" i="1"/>
  <c r="J3044" i="1"/>
  <c r="J3043" i="1"/>
  <c r="J3042" i="1"/>
  <c r="J3041" i="1"/>
  <c r="J3040" i="1"/>
  <c r="J3039" i="1"/>
  <c r="J3038" i="1"/>
  <c r="J3037" i="1"/>
  <c r="J3036" i="1"/>
  <c r="J3035" i="1"/>
  <c r="J3034" i="1"/>
  <c r="J3033" i="1"/>
  <c r="J3032" i="1"/>
  <c r="J3031" i="1"/>
  <c r="J3030" i="1"/>
  <c r="J3029" i="1"/>
  <c r="J3028" i="1"/>
  <c r="J3027" i="1"/>
  <c r="J3026" i="1"/>
  <c r="J3025" i="1"/>
  <c r="J3024" i="1"/>
  <c r="J3023" i="1"/>
  <c r="J3022" i="1"/>
  <c r="J3021" i="1"/>
  <c r="J3020" i="1"/>
  <c r="J3019" i="1"/>
  <c r="J3018" i="1"/>
  <c r="J3017" i="1"/>
  <c r="J3016" i="1"/>
  <c r="J3015" i="1"/>
  <c r="J3014" i="1"/>
  <c r="J3013" i="1"/>
  <c r="J3012" i="1"/>
  <c r="J3011" i="1"/>
  <c r="J3010" i="1"/>
  <c r="J3009" i="1"/>
  <c r="J3008" i="1"/>
  <c r="J3007" i="1"/>
  <c r="J3006" i="1"/>
  <c r="J3005" i="1"/>
  <c r="J3004" i="1"/>
  <c r="J3003" i="1"/>
  <c r="J3002" i="1"/>
  <c r="J3001" i="1"/>
  <c r="J3000" i="1"/>
  <c r="J2999" i="1"/>
  <c r="J2998" i="1"/>
  <c r="J2997" i="1"/>
  <c r="J2996" i="1"/>
  <c r="J2995" i="1"/>
  <c r="J2994" i="1"/>
  <c r="J2993" i="1"/>
  <c r="J2992" i="1"/>
  <c r="J2991" i="1"/>
  <c r="J2990" i="1"/>
  <c r="J2989" i="1"/>
  <c r="J2988" i="1"/>
  <c r="J2987" i="1"/>
  <c r="J2986" i="1"/>
  <c r="J2985" i="1"/>
  <c r="J2984" i="1"/>
  <c r="J2983" i="1"/>
  <c r="J2982" i="1"/>
  <c r="J2981" i="1"/>
  <c r="J2980" i="1"/>
  <c r="J2979" i="1"/>
  <c r="J2978" i="1"/>
  <c r="J2977" i="1"/>
  <c r="J2976" i="1"/>
  <c r="J2975" i="1"/>
  <c r="J2974" i="1"/>
  <c r="J2973" i="1"/>
  <c r="J2972" i="1"/>
  <c r="J2971" i="1"/>
  <c r="J2970" i="1"/>
  <c r="J2969" i="1"/>
  <c r="J2968" i="1"/>
  <c r="J2967" i="1"/>
  <c r="J2966" i="1"/>
  <c r="J2965" i="1"/>
  <c r="J2964" i="1"/>
  <c r="J2963" i="1"/>
  <c r="J2962" i="1"/>
  <c r="J2961" i="1"/>
  <c r="J2960" i="1"/>
  <c r="J2959" i="1"/>
  <c r="J2958" i="1"/>
  <c r="J2957" i="1"/>
  <c r="J2956" i="1"/>
  <c r="J2955" i="1"/>
  <c r="J2954" i="1"/>
  <c r="J2953" i="1"/>
  <c r="J2952" i="1"/>
  <c r="J2951" i="1"/>
  <c r="J2950" i="1"/>
  <c r="J2949" i="1"/>
  <c r="J2948" i="1"/>
  <c r="J2947" i="1"/>
  <c r="J2946" i="1"/>
  <c r="J2945" i="1"/>
  <c r="J2944" i="1"/>
  <c r="J2943" i="1"/>
  <c r="J2942" i="1"/>
  <c r="J2941" i="1"/>
  <c r="J2940" i="1"/>
  <c r="J2939" i="1"/>
  <c r="J2938" i="1"/>
  <c r="J2937" i="1"/>
  <c r="J2936" i="1"/>
  <c r="J2935" i="1"/>
  <c r="J2934" i="1"/>
  <c r="J2933" i="1"/>
  <c r="J2932" i="1"/>
  <c r="J2931" i="1"/>
  <c r="J2930" i="1"/>
  <c r="J2929" i="1"/>
  <c r="J2928" i="1"/>
  <c r="J2927" i="1"/>
  <c r="J2926" i="1"/>
  <c r="J2925" i="1"/>
  <c r="J2924" i="1"/>
  <c r="J2923" i="1"/>
  <c r="J2922" i="1"/>
  <c r="J2921" i="1"/>
  <c r="J2920" i="1"/>
  <c r="J2919" i="1"/>
  <c r="J2918" i="1"/>
  <c r="J2917" i="1"/>
  <c r="J2916" i="1"/>
  <c r="J2915" i="1"/>
  <c r="J2914" i="1"/>
  <c r="J2913" i="1"/>
  <c r="J2912" i="1"/>
  <c r="J2911" i="1"/>
  <c r="J2910" i="1"/>
  <c r="J2909" i="1"/>
  <c r="J2908" i="1"/>
  <c r="J2907" i="1"/>
  <c r="J2906" i="1"/>
  <c r="J2905" i="1"/>
  <c r="J2904" i="1"/>
  <c r="J2903" i="1"/>
  <c r="J2902" i="1"/>
  <c r="J2901" i="1"/>
  <c r="J2900" i="1"/>
  <c r="J2899" i="1"/>
  <c r="J2898" i="1"/>
  <c r="J2897" i="1"/>
  <c r="J2896" i="1"/>
  <c r="J2895" i="1"/>
  <c r="J2894" i="1"/>
  <c r="J2893" i="1"/>
  <c r="J2892" i="1"/>
  <c r="J2891" i="1"/>
  <c r="J2890" i="1"/>
  <c r="J2889" i="1"/>
  <c r="J2888" i="1"/>
  <c r="J2887" i="1"/>
  <c r="J2886" i="1"/>
  <c r="J2885" i="1"/>
  <c r="J2884" i="1"/>
  <c r="J2883" i="1"/>
  <c r="J2882" i="1"/>
  <c r="J2881" i="1"/>
  <c r="J2880" i="1"/>
  <c r="J2879" i="1"/>
  <c r="J2878" i="1"/>
  <c r="J2877" i="1"/>
  <c r="J2876" i="1"/>
  <c r="J2875" i="1"/>
  <c r="J2874" i="1"/>
  <c r="J2873" i="1"/>
  <c r="J2872" i="1"/>
  <c r="J2871" i="1"/>
  <c r="J2870" i="1"/>
  <c r="J2869" i="1"/>
  <c r="J2868" i="1"/>
  <c r="J2867" i="1"/>
  <c r="J2866" i="1"/>
  <c r="J2865" i="1"/>
  <c r="J2864" i="1"/>
  <c r="J2863" i="1"/>
  <c r="J2862" i="1"/>
  <c r="J2861" i="1"/>
  <c r="J2860" i="1"/>
  <c r="J2859" i="1"/>
  <c r="J2858" i="1"/>
  <c r="J2857" i="1"/>
  <c r="J2856" i="1"/>
  <c r="J2855" i="1"/>
  <c r="J2854" i="1"/>
  <c r="J2853" i="1"/>
  <c r="J2852" i="1"/>
  <c r="J2851" i="1"/>
  <c r="J2850" i="1"/>
  <c r="J2849" i="1"/>
  <c r="J2848" i="1"/>
  <c r="J2847" i="1"/>
  <c r="J2846" i="1"/>
  <c r="J2845" i="1"/>
  <c r="J2844" i="1"/>
  <c r="J2843" i="1"/>
  <c r="J2842" i="1"/>
  <c r="J2841" i="1"/>
  <c r="J2840" i="1"/>
  <c r="J2839" i="1"/>
  <c r="J2838" i="1"/>
  <c r="J2837" i="1"/>
  <c r="J2836" i="1"/>
  <c r="J2835" i="1"/>
  <c r="J2834" i="1"/>
  <c r="J2833" i="1"/>
  <c r="J2832" i="1"/>
  <c r="J2831" i="1"/>
  <c r="J2830" i="1"/>
  <c r="J2829" i="1"/>
  <c r="J2828" i="1"/>
  <c r="J2827" i="1"/>
  <c r="J2826" i="1"/>
  <c r="J2825" i="1"/>
  <c r="J2824" i="1"/>
  <c r="J2823" i="1"/>
  <c r="J2822" i="1"/>
  <c r="J2821" i="1"/>
  <c r="J2820" i="1"/>
  <c r="J2819" i="1"/>
  <c r="J2818" i="1"/>
  <c r="J2817" i="1"/>
  <c r="J2816" i="1"/>
  <c r="J2815" i="1"/>
  <c r="J2814" i="1"/>
  <c r="J2813" i="1"/>
  <c r="J2812" i="1"/>
  <c r="J2811" i="1"/>
  <c r="J2810" i="1"/>
  <c r="J2809" i="1"/>
  <c r="J2808" i="1"/>
  <c r="J2807" i="1"/>
  <c r="J2806" i="1"/>
  <c r="J2805" i="1"/>
  <c r="J2804" i="1"/>
  <c r="J2803" i="1"/>
  <c r="J2802" i="1"/>
  <c r="J2801" i="1"/>
  <c r="J2800" i="1"/>
  <c r="J2799" i="1"/>
  <c r="J2798" i="1"/>
  <c r="J2797" i="1"/>
  <c r="J2796" i="1"/>
  <c r="J2795" i="1"/>
  <c r="J2794" i="1"/>
  <c r="J2793" i="1"/>
  <c r="J2792" i="1"/>
  <c r="J2791" i="1"/>
  <c r="J2790" i="1"/>
  <c r="J2789" i="1"/>
  <c r="J2788" i="1"/>
  <c r="J2787" i="1"/>
  <c r="J2786" i="1"/>
  <c r="J2785" i="1"/>
  <c r="J2784" i="1"/>
  <c r="J2783" i="1"/>
  <c r="J2782" i="1"/>
  <c r="J2781" i="1"/>
  <c r="J2780" i="1"/>
  <c r="J2779" i="1"/>
  <c r="J2778" i="1"/>
  <c r="J2777" i="1"/>
  <c r="J2776" i="1"/>
  <c r="J2775" i="1"/>
  <c r="J2774" i="1"/>
  <c r="J2773" i="1"/>
  <c r="J2772" i="1"/>
  <c r="J2771" i="1"/>
  <c r="J2770" i="1"/>
  <c r="J2769" i="1"/>
  <c r="J2768" i="1"/>
  <c r="J2767" i="1"/>
  <c r="J2766" i="1"/>
  <c r="J2765" i="1"/>
  <c r="J2764" i="1"/>
  <c r="J2763" i="1"/>
  <c r="J2762" i="1"/>
  <c r="J2761" i="1"/>
  <c r="J2760" i="1"/>
  <c r="J2759" i="1"/>
  <c r="J2758" i="1"/>
  <c r="J2757" i="1"/>
  <c r="J2756" i="1"/>
  <c r="J2755" i="1"/>
  <c r="J2754" i="1"/>
  <c r="J2753" i="1"/>
  <c r="J2752" i="1"/>
  <c r="J2751" i="1"/>
  <c r="J2750" i="1"/>
  <c r="J2749" i="1"/>
  <c r="J2748" i="1"/>
  <c r="J2747" i="1"/>
  <c r="J2746" i="1"/>
  <c r="J2745" i="1"/>
  <c r="J2744" i="1"/>
  <c r="J2743" i="1"/>
  <c r="J2742" i="1"/>
  <c r="J2741" i="1"/>
  <c r="J2740" i="1"/>
  <c r="J2739" i="1"/>
  <c r="J2738" i="1"/>
  <c r="J2737" i="1"/>
  <c r="J2736" i="1"/>
  <c r="J2735" i="1"/>
  <c r="J2734" i="1"/>
  <c r="J2733" i="1"/>
  <c r="J2732" i="1"/>
  <c r="J2731" i="1"/>
  <c r="J2730" i="1"/>
  <c r="J2729" i="1"/>
  <c r="J2728" i="1"/>
  <c r="J2727" i="1"/>
  <c r="J2726" i="1"/>
  <c r="J2725" i="1"/>
  <c r="J2724" i="1"/>
  <c r="J2723" i="1"/>
  <c r="J2722" i="1"/>
  <c r="J2721" i="1"/>
  <c r="J2720" i="1"/>
  <c r="J2719" i="1"/>
  <c r="J2718" i="1"/>
  <c r="J2717" i="1"/>
  <c r="J2716" i="1"/>
  <c r="J2715" i="1"/>
  <c r="J2714" i="1"/>
  <c r="J2713" i="1"/>
  <c r="J2712" i="1"/>
  <c r="J2711" i="1"/>
  <c r="J2710" i="1"/>
  <c r="J2709" i="1"/>
  <c r="J2708" i="1"/>
  <c r="J2707" i="1"/>
  <c r="J2706" i="1"/>
  <c r="J2705" i="1"/>
  <c r="J2704" i="1"/>
  <c r="J2703" i="1"/>
  <c r="J2702" i="1"/>
  <c r="J2701" i="1"/>
  <c r="J2700" i="1"/>
  <c r="J2699" i="1"/>
  <c r="J2698" i="1"/>
  <c r="J2697" i="1"/>
  <c r="J2696" i="1"/>
  <c r="J2695" i="1"/>
  <c r="J2694" i="1"/>
  <c r="J2693" i="1"/>
  <c r="J2692" i="1"/>
  <c r="J2691" i="1"/>
  <c r="J2690" i="1"/>
  <c r="J2689" i="1"/>
  <c r="J2688" i="1"/>
  <c r="J2687" i="1"/>
  <c r="J2686" i="1"/>
  <c r="J2685" i="1"/>
  <c r="J2684" i="1"/>
  <c r="J2683" i="1"/>
  <c r="J2682" i="1"/>
  <c r="J2681" i="1"/>
  <c r="J2680" i="1"/>
  <c r="J2679" i="1"/>
  <c r="J2678" i="1"/>
  <c r="J2677" i="1"/>
  <c r="J2676" i="1"/>
  <c r="J2675" i="1"/>
  <c r="J2674" i="1"/>
  <c r="J2673" i="1"/>
  <c r="J2672" i="1"/>
  <c r="J2671" i="1"/>
  <c r="J2670" i="1"/>
  <c r="J2669" i="1"/>
  <c r="J2668" i="1"/>
  <c r="J2667" i="1"/>
  <c r="J2666" i="1"/>
  <c r="J2665" i="1"/>
  <c r="J2664" i="1"/>
  <c r="J2663" i="1"/>
  <c r="J2662" i="1"/>
  <c r="J2661" i="1"/>
  <c r="J2660" i="1"/>
  <c r="J2659" i="1"/>
  <c r="J2658" i="1"/>
  <c r="J2657" i="1"/>
  <c r="J2656" i="1"/>
  <c r="J2655" i="1"/>
  <c r="J2654" i="1"/>
  <c r="J2653" i="1"/>
  <c r="J2652" i="1"/>
  <c r="J2651" i="1"/>
  <c r="J2650" i="1"/>
  <c r="J2649" i="1"/>
  <c r="J2648" i="1"/>
  <c r="J2647" i="1"/>
  <c r="J2646" i="1"/>
  <c r="J2645" i="1"/>
  <c r="J2644" i="1"/>
  <c r="J2643" i="1"/>
  <c r="J2642" i="1"/>
  <c r="J2641" i="1"/>
  <c r="J2640" i="1"/>
  <c r="J2639" i="1"/>
  <c r="J2638" i="1"/>
  <c r="J2637" i="1"/>
  <c r="J2636" i="1"/>
  <c r="J2635" i="1"/>
  <c r="J2634" i="1"/>
  <c r="J2633" i="1"/>
  <c r="J2632" i="1"/>
  <c r="J2631" i="1"/>
  <c r="J2630" i="1"/>
  <c r="J2629" i="1"/>
  <c r="J2628" i="1"/>
  <c r="J2627" i="1"/>
  <c r="J2626" i="1"/>
  <c r="J2625" i="1"/>
  <c r="J2624" i="1"/>
  <c r="J2623" i="1"/>
  <c r="J2622" i="1"/>
  <c r="J2621" i="1"/>
  <c r="J2620" i="1"/>
  <c r="J2619" i="1"/>
  <c r="J2618" i="1"/>
  <c r="J2617" i="1"/>
  <c r="J2616" i="1"/>
  <c r="J2615" i="1"/>
  <c r="J2614" i="1"/>
  <c r="J2613" i="1"/>
  <c r="J2612" i="1"/>
  <c r="J2611" i="1"/>
  <c r="J2610" i="1"/>
  <c r="J2609" i="1"/>
  <c r="J2608" i="1"/>
  <c r="J2607" i="1"/>
  <c r="J2606" i="1"/>
  <c r="J2605" i="1"/>
  <c r="J2604" i="1"/>
  <c r="J2603" i="1"/>
  <c r="J2602" i="1"/>
  <c r="J2601" i="1"/>
  <c r="J2600" i="1"/>
  <c r="J2599" i="1"/>
  <c r="J2598" i="1"/>
  <c r="J2597" i="1"/>
  <c r="J2596" i="1"/>
  <c r="J2595" i="1"/>
  <c r="J2594" i="1"/>
  <c r="J2593" i="1"/>
  <c r="J2592" i="1"/>
  <c r="J2591" i="1"/>
  <c r="J2590" i="1"/>
  <c r="J2589" i="1"/>
  <c r="J2588" i="1"/>
  <c r="J2587" i="1"/>
  <c r="J2586" i="1"/>
  <c r="J2585" i="1"/>
  <c r="J2584" i="1"/>
  <c r="J2583" i="1"/>
  <c r="J2582" i="1"/>
  <c r="J2581" i="1"/>
  <c r="J2580" i="1"/>
  <c r="J2579" i="1"/>
  <c r="J2578" i="1"/>
  <c r="J2577" i="1"/>
  <c r="J2576" i="1"/>
  <c r="J2575" i="1"/>
  <c r="J2574" i="1"/>
  <c r="J2573" i="1"/>
  <c r="J2572" i="1"/>
  <c r="J2571" i="1"/>
  <c r="J2570" i="1"/>
  <c r="J2569" i="1"/>
  <c r="J2568" i="1"/>
  <c r="J2567" i="1"/>
  <c r="J2566" i="1"/>
  <c r="J2565" i="1"/>
  <c r="J2564" i="1"/>
  <c r="J2563" i="1"/>
  <c r="J2562" i="1"/>
  <c r="J2561" i="1"/>
  <c r="J2560" i="1"/>
  <c r="J2559" i="1"/>
  <c r="J2558" i="1"/>
  <c r="J2557" i="1"/>
  <c r="J2556" i="1"/>
  <c r="J2555" i="1"/>
  <c r="J2554" i="1"/>
  <c r="J2553" i="1"/>
  <c r="J2552" i="1"/>
  <c r="J2551" i="1"/>
  <c r="J2550" i="1"/>
  <c r="J2549" i="1"/>
  <c r="J2548" i="1"/>
  <c r="J2547" i="1"/>
  <c r="J2546" i="1"/>
  <c r="J2545" i="1"/>
  <c r="J2544" i="1"/>
  <c r="J2543" i="1"/>
  <c r="J2542" i="1"/>
  <c r="J2541" i="1"/>
  <c r="J2540" i="1"/>
  <c r="J2539" i="1"/>
  <c r="J2538" i="1"/>
  <c r="J2537" i="1"/>
  <c r="J2536" i="1"/>
  <c r="J2535" i="1"/>
  <c r="J2534" i="1"/>
  <c r="J2533" i="1"/>
  <c r="J2532" i="1"/>
  <c r="J2531" i="1"/>
  <c r="J2530" i="1"/>
  <c r="J2529" i="1"/>
  <c r="J2528" i="1"/>
  <c r="J2527" i="1"/>
  <c r="J2526" i="1"/>
  <c r="J2525" i="1"/>
  <c r="J2524" i="1"/>
  <c r="J2523" i="1"/>
  <c r="J2522" i="1"/>
  <c r="J2521" i="1"/>
  <c r="J2520" i="1"/>
  <c r="J2519" i="1"/>
  <c r="J2518" i="1"/>
  <c r="J2517" i="1"/>
  <c r="J2516" i="1"/>
  <c r="J2515" i="1"/>
  <c r="J2514" i="1"/>
  <c r="J2513" i="1"/>
  <c r="J2512" i="1"/>
  <c r="J2511" i="1"/>
  <c r="J2510" i="1"/>
  <c r="J2509" i="1"/>
  <c r="J2508" i="1"/>
  <c r="J2507" i="1"/>
  <c r="J2506" i="1"/>
  <c r="J2505" i="1"/>
  <c r="J2504" i="1"/>
  <c r="J2503" i="1"/>
  <c r="J2502" i="1"/>
  <c r="J2501" i="1"/>
  <c r="J2500" i="1"/>
  <c r="J2499" i="1"/>
  <c r="J2498" i="1"/>
  <c r="J2497" i="1"/>
  <c r="J2496" i="1"/>
  <c r="J2495" i="1"/>
  <c r="J2494" i="1"/>
  <c r="J2493" i="1"/>
  <c r="J2492" i="1"/>
  <c r="J2491" i="1"/>
  <c r="J2490" i="1"/>
  <c r="J2489" i="1"/>
  <c r="J2488" i="1"/>
  <c r="J2487" i="1"/>
  <c r="J2486" i="1"/>
  <c r="J2485" i="1"/>
  <c r="J2484" i="1"/>
  <c r="J2483" i="1"/>
  <c r="J2482" i="1"/>
  <c r="J2481" i="1"/>
  <c r="J2480" i="1"/>
  <c r="J2479" i="1"/>
  <c r="J2478" i="1"/>
  <c r="J2477" i="1"/>
  <c r="J2476" i="1"/>
  <c r="J2475" i="1"/>
  <c r="J2474" i="1"/>
  <c r="J2473" i="1"/>
  <c r="J2472" i="1"/>
  <c r="J2471" i="1"/>
  <c r="J2470" i="1"/>
  <c r="J2469" i="1"/>
  <c r="J2468" i="1"/>
  <c r="J2467" i="1"/>
  <c r="J2466" i="1"/>
  <c r="J2465" i="1"/>
  <c r="J2464" i="1"/>
  <c r="J2463" i="1"/>
  <c r="J2462" i="1"/>
  <c r="J2461" i="1"/>
  <c r="J2460" i="1"/>
  <c r="J2459" i="1"/>
  <c r="J2458" i="1"/>
  <c r="J2457" i="1"/>
  <c r="J2456" i="1"/>
  <c r="J2455" i="1"/>
  <c r="J2454" i="1"/>
  <c r="J2453" i="1"/>
  <c r="J2452" i="1"/>
  <c r="J2451" i="1"/>
  <c r="J2450" i="1"/>
  <c r="J2449" i="1"/>
  <c r="J2448" i="1"/>
  <c r="J2447" i="1"/>
  <c r="J2446" i="1"/>
  <c r="J2445" i="1"/>
  <c r="J2444" i="1"/>
  <c r="J2443" i="1"/>
  <c r="J2442" i="1"/>
  <c r="J2441" i="1"/>
  <c r="J2440" i="1"/>
  <c r="J2439" i="1"/>
  <c r="J2438" i="1"/>
  <c r="J2437" i="1"/>
  <c r="J2436" i="1"/>
  <c r="J2435" i="1"/>
  <c r="J2434" i="1"/>
  <c r="J2433" i="1"/>
  <c r="J2432" i="1"/>
  <c r="J2431" i="1"/>
  <c r="J2430" i="1"/>
  <c r="J2429" i="1"/>
  <c r="J2428" i="1"/>
  <c r="J2427" i="1"/>
  <c r="J2426" i="1"/>
  <c r="J2425" i="1"/>
  <c r="J2424" i="1"/>
  <c r="J2423" i="1"/>
  <c r="J2422" i="1"/>
  <c r="J2421" i="1"/>
  <c r="J2420" i="1"/>
  <c r="J2419" i="1"/>
  <c r="J2418" i="1"/>
  <c r="J2417" i="1"/>
  <c r="J2416" i="1"/>
  <c r="J2415" i="1"/>
  <c r="J2414" i="1"/>
  <c r="J2413" i="1"/>
  <c r="J2412" i="1"/>
  <c r="J2411" i="1"/>
  <c r="J2410" i="1"/>
  <c r="J2409" i="1"/>
  <c r="J2408" i="1"/>
  <c r="J2407" i="1"/>
  <c r="J2406" i="1"/>
  <c r="J2405" i="1"/>
  <c r="J2404" i="1"/>
  <c r="J2403" i="1"/>
  <c r="J2402" i="1"/>
  <c r="J2401" i="1"/>
  <c r="J2400" i="1"/>
  <c r="J2399" i="1"/>
  <c r="J2398" i="1"/>
  <c r="J2397" i="1"/>
  <c r="J2396" i="1"/>
  <c r="J2395" i="1"/>
  <c r="J2394" i="1"/>
  <c r="J2393" i="1"/>
  <c r="J2392" i="1"/>
  <c r="J2391" i="1"/>
  <c r="J2390" i="1"/>
  <c r="J2389" i="1"/>
  <c r="J2388" i="1"/>
  <c r="J2387" i="1"/>
  <c r="J2386" i="1"/>
  <c r="J2385" i="1"/>
  <c r="J2384" i="1"/>
  <c r="J2383" i="1"/>
  <c r="J2382" i="1"/>
  <c r="J2381" i="1"/>
  <c r="J2380" i="1"/>
  <c r="J2379" i="1"/>
  <c r="J2378" i="1"/>
  <c r="J2377" i="1"/>
  <c r="J2376" i="1"/>
  <c r="J2375" i="1"/>
  <c r="J2374" i="1"/>
  <c r="J2373" i="1"/>
  <c r="J2372" i="1"/>
  <c r="J2371" i="1"/>
  <c r="J2370" i="1"/>
  <c r="J2369" i="1"/>
  <c r="J2368" i="1"/>
  <c r="J2367" i="1"/>
  <c r="J2366" i="1"/>
  <c r="J2365" i="1"/>
  <c r="J2364" i="1"/>
  <c r="J2363" i="1"/>
  <c r="J2362" i="1"/>
  <c r="J2361" i="1"/>
  <c r="J2360" i="1"/>
  <c r="J2359" i="1"/>
  <c r="J2358" i="1"/>
  <c r="J2357" i="1"/>
  <c r="J2356" i="1"/>
  <c r="J2355" i="1"/>
  <c r="J2354" i="1"/>
  <c r="J2353" i="1"/>
  <c r="J2352" i="1"/>
  <c r="J2351" i="1"/>
  <c r="J2350" i="1"/>
  <c r="J2349" i="1"/>
  <c r="J2348" i="1"/>
  <c r="J2347" i="1"/>
  <c r="J2346" i="1"/>
  <c r="J2345" i="1"/>
  <c r="J2344" i="1"/>
  <c r="J2343" i="1"/>
  <c r="J2342" i="1"/>
  <c r="J2341" i="1"/>
  <c r="J2340" i="1"/>
  <c r="J2339" i="1"/>
  <c r="J2338" i="1"/>
  <c r="J2337" i="1"/>
  <c r="J2336" i="1"/>
  <c r="J2335" i="1"/>
  <c r="J2334" i="1"/>
  <c r="J2333" i="1"/>
  <c r="J2332" i="1"/>
  <c r="J2331" i="1"/>
  <c r="J2330" i="1"/>
  <c r="J2329" i="1"/>
  <c r="J2328" i="1"/>
  <c r="J2327" i="1"/>
  <c r="J2326" i="1"/>
  <c r="J2325" i="1"/>
  <c r="J2324" i="1"/>
  <c r="J2323" i="1"/>
  <c r="J2322" i="1"/>
  <c r="J2321" i="1"/>
  <c r="J2320" i="1"/>
  <c r="J2319" i="1"/>
  <c r="J2318" i="1"/>
  <c r="J2317" i="1"/>
  <c r="J2316" i="1"/>
  <c r="J2315" i="1"/>
  <c r="J2314" i="1"/>
  <c r="J2313" i="1"/>
  <c r="J2312" i="1"/>
  <c r="J2311" i="1"/>
  <c r="J2310" i="1"/>
  <c r="J2309" i="1"/>
  <c r="J2308" i="1"/>
  <c r="J2307" i="1"/>
  <c r="J2306" i="1"/>
  <c r="J2305" i="1"/>
  <c r="J2304" i="1"/>
  <c r="J2303" i="1"/>
  <c r="J2302" i="1"/>
  <c r="J2301" i="1"/>
  <c r="J2300" i="1"/>
  <c r="J2299" i="1"/>
  <c r="J2298" i="1"/>
  <c r="J2297" i="1"/>
  <c r="J2296" i="1"/>
  <c r="J2295" i="1"/>
  <c r="J2294" i="1"/>
  <c r="J2293" i="1"/>
  <c r="J2292" i="1"/>
  <c r="J2291" i="1"/>
  <c r="J2290" i="1"/>
  <c r="J2289" i="1"/>
  <c r="J2288" i="1"/>
  <c r="J2287" i="1"/>
  <c r="J2286" i="1"/>
  <c r="J2285" i="1"/>
  <c r="J2284" i="1"/>
  <c r="J2283" i="1"/>
  <c r="J2282" i="1"/>
  <c r="J2281" i="1"/>
  <c r="J2280" i="1"/>
  <c r="J2279" i="1"/>
  <c r="J2278" i="1"/>
  <c r="J2277" i="1"/>
  <c r="J2276" i="1"/>
  <c r="J2275" i="1"/>
  <c r="J2274" i="1"/>
  <c r="J2273" i="1"/>
  <c r="J2272" i="1"/>
  <c r="J2271" i="1"/>
  <c r="J2270" i="1"/>
  <c r="J2269" i="1"/>
  <c r="J2268" i="1"/>
  <c r="J2267" i="1"/>
  <c r="J2266" i="1"/>
  <c r="J2265" i="1"/>
  <c r="J2264" i="1"/>
  <c r="J2263" i="1"/>
  <c r="J2262" i="1"/>
  <c r="J2261" i="1"/>
  <c r="J2260" i="1"/>
  <c r="J2259" i="1"/>
  <c r="J2258" i="1"/>
  <c r="J2257" i="1"/>
  <c r="J2256" i="1"/>
  <c r="J2255" i="1"/>
  <c r="J2254" i="1"/>
  <c r="J2253" i="1"/>
  <c r="J2252" i="1"/>
  <c r="J2251" i="1"/>
  <c r="J2250" i="1"/>
  <c r="J2249" i="1"/>
  <c r="J2248" i="1"/>
  <c r="J2247" i="1"/>
  <c r="J2246" i="1"/>
  <c r="J2245" i="1"/>
  <c r="J2244" i="1"/>
  <c r="J2243" i="1"/>
  <c r="J2242" i="1"/>
  <c r="J2241" i="1"/>
  <c r="J2240" i="1"/>
  <c r="J2239" i="1"/>
  <c r="J2238" i="1"/>
  <c r="J2237" i="1"/>
  <c r="J2236" i="1"/>
  <c r="J2235" i="1"/>
  <c r="J2234" i="1"/>
  <c r="J2233" i="1"/>
  <c r="J2232" i="1"/>
  <c r="J2231" i="1"/>
  <c r="J2230" i="1"/>
  <c r="J2229" i="1"/>
  <c r="J2228" i="1"/>
  <c r="J2227" i="1"/>
  <c r="J2226" i="1"/>
  <c r="J2225" i="1"/>
  <c r="J2224" i="1"/>
  <c r="J2223" i="1"/>
  <c r="J2222" i="1"/>
  <c r="J2221" i="1"/>
  <c r="J2220" i="1"/>
  <c r="J2219" i="1"/>
  <c r="J2218" i="1"/>
  <c r="J2217" i="1"/>
  <c r="J2216" i="1"/>
  <c r="J2215" i="1"/>
  <c r="J2214" i="1"/>
  <c r="J2213" i="1"/>
  <c r="J2212" i="1"/>
  <c r="J2211" i="1"/>
  <c r="J2210" i="1"/>
  <c r="J2209" i="1"/>
  <c r="J2208" i="1"/>
  <c r="J2207" i="1"/>
  <c r="J2206" i="1"/>
  <c r="J2205" i="1"/>
  <c r="J2204" i="1"/>
  <c r="J2203" i="1"/>
  <c r="J2202" i="1"/>
  <c r="J2201" i="1"/>
  <c r="J2200" i="1"/>
  <c r="J2199" i="1"/>
  <c r="J2198" i="1"/>
  <c r="J2197" i="1"/>
  <c r="J2196" i="1"/>
  <c r="J2195" i="1"/>
  <c r="J2194" i="1"/>
  <c r="J2193" i="1"/>
  <c r="J2192" i="1"/>
  <c r="J2191" i="1"/>
  <c r="J2190" i="1"/>
  <c r="J2189" i="1"/>
  <c r="J2188" i="1"/>
  <c r="J2187" i="1"/>
  <c r="J2186" i="1"/>
  <c r="J2185" i="1"/>
  <c r="J2184" i="1"/>
  <c r="J2183" i="1"/>
  <c r="J2182" i="1"/>
  <c r="J2181" i="1"/>
  <c r="J2180" i="1"/>
  <c r="J2179" i="1"/>
  <c r="J2178" i="1"/>
  <c r="J2177" i="1"/>
  <c r="J2176" i="1"/>
  <c r="J2175" i="1"/>
  <c r="J2174" i="1"/>
  <c r="J2173" i="1"/>
  <c r="J2172" i="1"/>
  <c r="J2171" i="1"/>
  <c r="J2170" i="1"/>
  <c r="J2169" i="1"/>
  <c r="J2168" i="1"/>
  <c r="J2167" i="1"/>
  <c r="J2166" i="1"/>
  <c r="J2165" i="1"/>
  <c r="J2164" i="1"/>
  <c r="J2163" i="1"/>
  <c r="J2162" i="1"/>
  <c r="J2161" i="1"/>
  <c r="J2160" i="1"/>
  <c r="J2159" i="1"/>
  <c r="J2158" i="1"/>
  <c r="J2157" i="1"/>
  <c r="J2156" i="1"/>
  <c r="J2155" i="1"/>
  <c r="J2154" i="1"/>
  <c r="J2153" i="1"/>
  <c r="J2152" i="1"/>
  <c r="J2151" i="1"/>
  <c r="J2150" i="1"/>
  <c r="J2149" i="1"/>
  <c r="J2148" i="1"/>
  <c r="J2147" i="1"/>
  <c r="J2146" i="1"/>
  <c r="J2145" i="1"/>
  <c r="J2144" i="1"/>
  <c r="J2143" i="1"/>
  <c r="J2142" i="1"/>
  <c r="J2141" i="1"/>
  <c r="J2140" i="1"/>
  <c r="J2139" i="1"/>
  <c r="J2138" i="1"/>
  <c r="J2137" i="1"/>
  <c r="J2136" i="1"/>
  <c r="J2135" i="1"/>
  <c r="J2134" i="1"/>
  <c r="J2133" i="1"/>
  <c r="J2132" i="1"/>
  <c r="J2131" i="1"/>
  <c r="J2130" i="1"/>
  <c r="J2129" i="1"/>
  <c r="J2128" i="1"/>
  <c r="J2127" i="1"/>
  <c r="J2126" i="1"/>
  <c r="J2125" i="1"/>
  <c r="J2124" i="1"/>
  <c r="J2123" i="1"/>
  <c r="J2122" i="1"/>
  <c r="J2121" i="1"/>
  <c r="J2120" i="1"/>
  <c r="J2119" i="1"/>
  <c r="J2118" i="1"/>
  <c r="J2117" i="1"/>
  <c r="J2116" i="1"/>
  <c r="J2115" i="1"/>
  <c r="J2114" i="1"/>
  <c r="J2113" i="1"/>
  <c r="J2112" i="1"/>
  <c r="J2111" i="1"/>
  <c r="J2110" i="1"/>
  <c r="J2109" i="1"/>
  <c r="J2108" i="1"/>
  <c r="J2107" i="1"/>
  <c r="J2106" i="1"/>
  <c r="J2105" i="1"/>
  <c r="J2104" i="1"/>
  <c r="J2103" i="1"/>
  <c r="J2102" i="1"/>
  <c r="J2101" i="1"/>
  <c r="J2100" i="1"/>
  <c r="J2099" i="1"/>
  <c r="J2098" i="1"/>
  <c r="J2097" i="1"/>
  <c r="J2096" i="1"/>
  <c r="J2095" i="1"/>
  <c r="J2094" i="1"/>
  <c r="J2093" i="1"/>
  <c r="J2092" i="1"/>
  <c r="J2091" i="1"/>
  <c r="J2090" i="1"/>
  <c r="J2089" i="1"/>
  <c r="J2088" i="1"/>
  <c r="J2087" i="1"/>
  <c r="J2086" i="1"/>
  <c r="J2085" i="1"/>
  <c r="J2084" i="1"/>
  <c r="J2083" i="1"/>
  <c r="J2082" i="1"/>
  <c r="J2081" i="1"/>
  <c r="J2080" i="1"/>
  <c r="J2079" i="1"/>
  <c r="J2078" i="1"/>
  <c r="J2077" i="1"/>
  <c r="J2076" i="1"/>
  <c r="J2075" i="1"/>
  <c r="J2074" i="1"/>
  <c r="J2073" i="1"/>
  <c r="J2072" i="1"/>
  <c r="J2071" i="1"/>
  <c r="J2070" i="1"/>
  <c r="J2069" i="1"/>
  <c r="J2068" i="1"/>
  <c r="J2067" i="1"/>
  <c r="J2066" i="1"/>
  <c r="J2065" i="1"/>
  <c r="J2064" i="1"/>
  <c r="J2063" i="1"/>
  <c r="J2062" i="1"/>
  <c r="J2061" i="1"/>
  <c r="J2060" i="1"/>
  <c r="J2059" i="1"/>
  <c r="J2058" i="1"/>
  <c r="J2057" i="1"/>
  <c r="J2056" i="1"/>
  <c r="J2055" i="1"/>
  <c r="J2054" i="1"/>
  <c r="J2053" i="1"/>
  <c r="J2052" i="1"/>
  <c r="J2051" i="1"/>
  <c r="J2050" i="1"/>
  <c r="J2049" i="1"/>
  <c r="J2048" i="1"/>
  <c r="J2047" i="1"/>
  <c r="J2046" i="1"/>
  <c r="J2045" i="1"/>
  <c r="J2044" i="1"/>
  <c r="J2043" i="1"/>
  <c r="J2042" i="1"/>
  <c r="J2041" i="1"/>
  <c r="J2040" i="1"/>
  <c r="J2039" i="1"/>
  <c r="J2038" i="1"/>
  <c r="J2037" i="1"/>
  <c r="J2036" i="1"/>
  <c r="J2035" i="1"/>
  <c r="J2034" i="1"/>
  <c r="J2033" i="1"/>
  <c r="J2032" i="1"/>
  <c r="J2031" i="1"/>
  <c r="J2030" i="1"/>
  <c r="J2029" i="1"/>
  <c r="J2028" i="1"/>
  <c r="J2027" i="1"/>
  <c r="J2026" i="1"/>
  <c r="J2025" i="1"/>
  <c r="J2024" i="1"/>
  <c r="J2023" i="1"/>
  <c r="J2022" i="1"/>
  <c r="J2021" i="1"/>
  <c r="J2020" i="1"/>
  <c r="J2019" i="1"/>
  <c r="J2018" i="1"/>
  <c r="J2017" i="1"/>
  <c r="J2016" i="1"/>
  <c r="J2015" i="1"/>
  <c r="J2014" i="1"/>
  <c r="J2013" i="1"/>
  <c r="J2012" i="1"/>
  <c r="J2011" i="1"/>
  <c r="J2010" i="1"/>
  <c r="J2009" i="1"/>
  <c r="J2008" i="1"/>
  <c r="J2007" i="1"/>
  <c r="J2006" i="1"/>
  <c r="J2005" i="1"/>
  <c r="J2004" i="1"/>
  <c r="J2003" i="1"/>
  <c r="J2002" i="1"/>
  <c r="J2001" i="1"/>
  <c r="J2000" i="1"/>
  <c r="J1999" i="1"/>
  <c r="J1998" i="1"/>
  <c r="J1997" i="1"/>
  <c r="J1996" i="1"/>
  <c r="J1995" i="1"/>
  <c r="J1994" i="1"/>
  <c r="J1993" i="1"/>
  <c r="J1992" i="1"/>
  <c r="J1991" i="1"/>
  <c r="J1990" i="1"/>
  <c r="J1989" i="1"/>
  <c r="J1988" i="1"/>
  <c r="J1987" i="1"/>
  <c r="J1986" i="1"/>
  <c r="J1985" i="1"/>
  <c r="J1984" i="1"/>
  <c r="J1983" i="1"/>
  <c r="J1982" i="1"/>
  <c r="J1981" i="1"/>
  <c r="J1980" i="1"/>
  <c r="J1979" i="1"/>
  <c r="J1978" i="1"/>
  <c r="J1977" i="1"/>
  <c r="J1976" i="1"/>
  <c r="J1975" i="1"/>
  <c r="J1974" i="1"/>
  <c r="J1973" i="1"/>
  <c r="J1972" i="1"/>
  <c r="J1971" i="1"/>
  <c r="J1970" i="1"/>
  <c r="J1969" i="1"/>
  <c r="J1968" i="1"/>
  <c r="J1967" i="1"/>
  <c r="J1966" i="1"/>
  <c r="J1965" i="1"/>
  <c r="J1964" i="1"/>
  <c r="J1963" i="1"/>
  <c r="J1962" i="1"/>
  <c r="J1961" i="1"/>
  <c r="J1960" i="1"/>
  <c r="J1959" i="1"/>
  <c r="J1958" i="1"/>
  <c r="J1957" i="1"/>
  <c r="J1956" i="1"/>
  <c r="J1955" i="1"/>
  <c r="J1954" i="1"/>
  <c r="J1953" i="1"/>
  <c r="J1952" i="1"/>
  <c r="J1951" i="1"/>
  <c r="J1950" i="1"/>
  <c r="J1949" i="1"/>
  <c r="J1948" i="1"/>
  <c r="J1947" i="1"/>
  <c r="J1946" i="1"/>
  <c r="J1945" i="1"/>
  <c r="J1944" i="1"/>
  <c r="J1943" i="1"/>
  <c r="J1942" i="1"/>
  <c r="J1941" i="1"/>
  <c r="J1940" i="1"/>
  <c r="J1939" i="1"/>
  <c r="J1938" i="1"/>
  <c r="J1937" i="1"/>
  <c r="J1936" i="1"/>
  <c r="J1935" i="1"/>
  <c r="J1934" i="1"/>
  <c r="J1933" i="1"/>
  <c r="J1932" i="1"/>
  <c r="J1931" i="1"/>
  <c r="J1930" i="1"/>
  <c r="J1929" i="1"/>
  <c r="J1928" i="1"/>
  <c r="J1927" i="1"/>
  <c r="J1926" i="1"/>
  <c r="J1925" i="1"/>
  <c r="J1924" i="1"/>
  <c r="J1923" i="1"/>
  <c r="J1922" i="1"/>
  <c r="J1921" i="1"/>
  <c r="J1920" i="1"/>
  <c r="J1919" i="1"/>
  <c r="J1918" i="1"/>
  <c r="J1917" i="1"/>
  <c r="J1916" i="1"/>
  <c r="J1915" i="1"/>
  <c r="J1914" i="1"/>
  <c r="J1913" i="1"/>
  <c r="J1912" i="1"/>
  <c r="J1911" i="1"/>
  <c r="J1910" i="1"/>
  <c r="J1909" i="1"/>
  <c r="J1908" i="1"/>
  <c r="J1907" i="1"/>
  <c r="J1906" i="1"/>
  <c r="J1905" i="1"/>
  <c r="J1904" i="1"/>
  <c r="J1903" i="1"/>
  <c r="J1902" i="1"/>
  <c r="J1901" i="1"/>
  <c r="J1900" i="1"/>
  <c r="J1899" i="1"/>
  <c r="J1898" i="1"/>
  <c r="J1897" i="1"/>
  <c r="J1896" i="1"/>
  <c r="J1895" i="1"/>
  <c r="J1894" i="1"/>
  <c r="J1893" i="1"/>
  <c r="J1892" i="1"/>
  <c r="J1891" i="1"/>
  <c r="J1890" i="1"/>
  <c r="J1889" i="1"/>
  <c r="J1888" i="1"/>
  <c r="J1887" i="1"/>
  <c r="J1886" i="1"/>
  <c r="J1885" i="1"/>
  <c r="J1884" i="1"/>
  <c r="J1883" i="1"/>
  <c r="J1882" i="1"/>
  <c r="J1881" i="1"/>
  <c r="J1880" i="1"/>
  <c r="J1879" i="1"/>
  <c r="J1878" i="1"/>
  <c r="J1877" i="1"/>
  <c r="J1876" i="1"/>
  <c r="J1875" i="1"/>
  <c r="J1874" i="1"/>
  <c r="J1873" i="1"/>
  <c r="J1872" i="1"/>
  <c r="J1871" i="1"/>
  <c r="J1870" i="1"/>
  <c r="J1869" i="1"/>
  <c r="J1868" i="1"/>
  <c r="J1867" i="1"/>
  <c r="J1866" i="1"/>
  <c r="J1865" i="1"/>
  <c r="J1864" i="1"/>
  <c r="J1863" i="1"/>
  <c r="J1862" i="1"/>
  <c r="J1861" i="1"/>
  <c r="J1860" i="1"/>
  <c r="J1859" i="1"/>
  <c r="J1858" i="1"/>
  <c r="J1857" i="1"/>
  <c r="J1856" i="1"/>
  <c r="J1855" i="1"/>
  <c r="J1854" i="1"/>
  <c r="J1853" i="1"/>
  <c r="J1852" i="1"/>
  <c r="J1851" i="1"/>
  <c r="J1850" i="1"/>
  <c r="J1849" i="1"/>
  <c r="J1848" i="1"/>
  <c r="J1847" i="1"/>
  <c r="J1846" i="1"/>
  <c r="J1845" i="1"/>
  <c r="J1844" i="1"/>
  <c r="J1843" i="1"/>
  <c r="J1842" i="1"/>
  <c r="J1841" i="1"/>
  <c r="J1840" i="1"/>
  <c r="J1839" i="1"/>
  <c r="J1838" i="1"/>
  <c r="J1837" i="1"/>
  <c r="J1836" i="1"/>
  <c r="J1835" i="1"/>
  <c r="J1834" i="1"/>
  <c r="J1833" i="1"/>
  <c r="J1832" i="1"/>
  <c r="J1831" i="1"/>
  <c r="J1830" i="1"/>
  <c r="J1829" i="1"/>
  <c r="J1828" i="1"/>
  <c r="J1827" i="1"/>
  <c r="J1826" i="1"/>
  <c r="J1825" i="1"/>
  <c r="J1824" i="1"/>
  <c r="J1823" i="1"/>
  <c r="J1822" i="1"/>
  <c r="J1821" i="1"/>
  <c r="J1820" i="1"/>
  <c r="J1819" i="1"/>
  <c r="J1818" i="1"/>
  <c r="J1817" i="1"/>
  <c r="J1816" i="1"/>
  <c r="J1815" i="1"/>
  <c r="J1814" i="1"/>
  <c r="J1813" i="1"/>
  <c r="J1812" i="1"/>
  <c r="J1811" i="1"/>
  <c r="J1810" i="1"/>
  <c r="J1809" i="1"/>
  <c r="J1808" i="1"/>
  <c r="J1807" i="1"/>
  <c r="J1806" i="1"/>
  <c r="J1805" i="1"/>
  <c r="J1804" i="1"/>
  <c r="J1803" i="1"/>
  <c r="J1802" i="1"/>
  <c r="J1801" i="1"/>
  <c r="J1800" i="1"/>
  <c r="J1799" i="1"/>
  <c r="J1798" i="1"/>
  <c r="J1797" i="1"/>
  <c r="J1796" i="1"/>
  <c r="J1795" i="1"/>
  <c r="J1794" i="1"/>
  <c r="J1793" i="1"/>
  <c r="J1792" i="1"/>
  <c r="J1791" i="1"/>
  <c r="J1790" i="1"/>
  <c r="J1789" i="1"/>
  <c r="J1788" i="1"/>
  <c r="J1787" i="1"/>
  <c r="J1786" i="1"/>
  <c r="J1785" i="1"/>
  <c r="J1784" i="1"/>
  <c r="J1783" i="1"/>
  <c r="J1782" i="1"/>
  <c r="J1781" i="1"/>
  <c r="J1780" i="1"/>
  <c r="J1779" i="1"/>
  <c r="J1778" i="1"/>
  <c r="J1777" i="1"/>
  <c r="J1776" i="1"/>
  <c r="J1775" i="1"/>
  <c r="J1774" i="1"/>
  <c r="J1773" i="1"/>
  <c r="J1772" i="1"/>
  <c r="J1771" i="1"/>
  <c r="J1770" i="1"/>
  <c r="J1769" i="1"/>
  <c r="J1768" i="1"/>
  <c r="J1767" i="1"/>
  <c r="J1766" i="1"/>
  <c r="J1765" i="1"/>
  <c r="J1764" i="1"/>
  <c r="J1763" i="1"/>
  <c r="J1762" i="1"/>
  <c r="J1761" i="1"/>
  <c r="J1760" i="1"/>
  <c r="J1759" i="1"/>
  <c r="J1758" i="1"/>
  <c r="J1757" i="1"/>
  <c r="J1756" i="1"/>
  <c r="J1755" i="1"/>
  <c r="J1754" i="1"/>
  <c r="J1753" i="1"/>
  <c r="J1752" i="1"/>
  <c r="J1751" i="1"/>
  <c r="J1750" i="1"/>
  <c r="J1749" i="1"/>
  <c r="J1748" i="1"/>
  <c r="J1747" i="1"/>
  <c r="J1746" i="1"/>
  <c r="J1745" i="1"/>
  <c r="J1744" i="1"/>
  <c r="J1743" i="1"/>
  <c r="J1742" i="1"/>
  <c r="J1741" i="1"/>
  <c r="J1740" i="1"/>
  <c r="J1739" i="1"/>
  <c r="J1738" i="1"/>
  <c r="J1737" i="1"/>
  <c r="J1736" i="1"/>
  <c r="J1735" i="1"/>
  <c r="J1734" i="1"/>
  <c r="J1733" i="1"/>
  <c r="J1732" i="1"/>
  <c r="J1731" i="1"/>
  <c r="J1730" i="1"/>
  <c r="J1729" i="1"/>
  <c r="J1728" i="1"/>
  <c r="J1727" i="1"/>
  <c r="J1726" i="1"/>
  <c r="J1725" i="1"/>
  <c r="J1724" i="1"/>
  <c r="J1723" i="1"/>
  <c r="J1722" i="1"/>
  <c r="J1721" i="1"/>
  <c r="J1720" i="1"/>
  <c r="J1719" i="1"/>
  <c r="J1718" i="1"/>
  <c r="J1717" i="1"/>
  <c r="J1716" i="1"/>
  <c r="J1715" i="1"/>
  <c r="J1714" i="1"/>
  <c r="J1713" i="1"/>
  <c r="J1712" i="1"/>
  <c r="J1711" i="1"/>
  <c r="J1710" i="1"/>
  <c r="J1709" i="1"/>
  <c r="J1708" i="1"/>
  <c r="J1707" i="1"/>
  <c r="J1706" i="1"/>
  <c r="J1705" i="1"/>
  <c r="J1704" i="1"/>
  <c r="J1703" i="1"/>
  <c r="J1702" i="1"/>
  <c r="J1701" i="1"/>
  <c r="J1700" i="1"/>
  <c r="J1699" i="1"/>
  <c r="J1698" i="1"/>
  <c r="J1697" i="1"/>
  <c r="J1696" i="1"/>
  <c r="J1695" i="1"/>
  <c r="J1694" i="1"/>
  <c r="J1693" i="1"/>
  <c r="J1692" i="1"/>
  <c r="J1691" i="1"/>
  <c r="J1690" i="1"/>
  <c r="J1689" i="1"/>
  <c r="J1688" i="1"/>
  <c r="J1687" i="1"/>
  <c r="J1686" i="1"/>
  <c r="J1685" i="1"/>
  <c r="J1684" i="1"/>
  <c r="J1683" i="1"/>
  <c r="J1682" i="1"/>
  <c r="J1681" i="1"/>
  <c r="J1680" i="1"/>
  <c r="J1679" i="1"/>
  <c r="J1678" i="1"/>
  <c r="J1677" i="1"/>
  <c r="J1676" i="1"/>
  <c r="J1675" i="1"/>
  <c r="J1674" i="1"/>
  <c r="J1673" i="1"/>
  <c r="J1672" i="1"/>
  <c r="J1671" i="1"/>
  <c r="J1670" i="1"/>
  <c r="J1669" i="1"/>
  <c r="J1668" i="1"/>
  <c r="J1667" i="1"/>
  <c r="J1666" i="1"/>
  <c r="J1665" i="1"/>
  <c r="J1664" i="1"/>
  <c r="J1663" i="1"/>
  <c r="J1662" i="1"/>
  <c r="J1661" i="1"/>
  <c r="J1660" i="1"/>
  <c r="J1659" i="1"/>
  <c r="J1658" i="1"/>
  <c r="J1657" i="1"/>
  <c r="J1656" i="1"/>
  <c r="J1655" i="1"/>
  <c r="J1654" i="1"/>
  <c r="J1653" i="1"/>
  <c r="J1652" i="1"/>
  <c r="J1651" i="1"/>
  <c r="J1650" i="1"/>
  <c r="J1649" i="1"/>
  <c r="J1648" i="1"/>
  <c r="J1647" i="1"/>
  <c r="J1646" i="1"/>
  <c r="J1645" i="1"/>
  <c r="J1644" i="1"/>
  <c r="J1643" i="1"/>
  <c r="J1642" i="1"/>
  <c r="J1641" i="1"/>
  <c r="J1640" i="1"/>
  <c r="J1639" i="1"/>
  <c r="J1638" i="1"/>
  <c r="J1637" i="1"/>
  <c r="J1636" i="1"/>
  <c r="J1635" i="1"/>
  <c r="J1634" i="1"/>
  <c r="J1633" i="1"/>
  <c r="J1632" i="1"/>
  <c r="J1631" i="1"/>
  <c r="J1630" i="1"/>
  <c r="J1629" i="1"/>
  <c r="J1628" i="1"/>
  <c r="J1627" i="1"/>
  <c r="J1626" i="1"/>
  <c r="J1625" i="1"/>
  <c r="J1624" i="1"/>
  <c r="J1623" i="1"/>
  <c r="J1622" i="1"/>
  <c r="J1621" i="1"/>
  <c r="J1620" i="1"/>
  <c r="J1619" i="1"/>
  <c r="J1618" i="1"/>
  <c r="J1617" i="1"/>
  <c r="J1616" i="1"/>
  <c r="J1615" i="1"/>
  <c r="J1614" i="1"/>
  <c r="J1613" i="1"/>
  <c r="J1612" i="1"/>
  <c r="J1611" i="1"/>
  <c r="J1610" i="1"/>
  <c r="J1609" i="1"/>
  <c r="J1608" i="1"/>
  <c r="J1607" i="1"/>
  <c r="J1606" i="1"/>
  <c r="J1605" i="1"/>
  <c r="J1604" i="1"/>
  <c r="J1603" i="1"/>
  <c r="J1602" i="1"/>
  <c r="J1601" i="1"/>
  <c r="J1600" i="1"/>
  <c r="J1599" i="1"/>
  <c r="J1598" i="1"/>
  <c r="J1597" i="1"/>
  <c r="J1596" i="1"/>
  <c r="J1595" i="1"/>
  <c r="J1594" i="1"/>
  <c r="J1593" i="1"/>
  <c r="J1592" i="1"/>
  <c r="J1591" i="1"/>
  <c r="J1590" i="1"/>
  <c r="J1589" i="1"/>
  <c r="J1588" i="1"/>
  <c r="J1587" i="1"/>
  <c r="J1586" i="1"/>
  <c r="J1585" i="1"/>
  <c r="J1584" i="1"/>
  <c r="J1583" i="1"/>
  <c r="J1582" i="1"/>
  <c r="J1581" i="1"/>
  <c r="J1580" i="1"/>
  <c r="J1579" i="1"/>
  <c r="J1578" i="1"/>
  <c r="J1577" i="1"/>
  <c r="J1576" i="1"/>
  <c r="J1575" i="1"/>
  <c r="J1574" i="1"/>
  <c r="J1573" i="1"/>
  <c r="J1572" i="1"/>
  <c r="J1571" i="1"/>
  <c r="J1570" i="1"/>
  <c r="J1569" i="1"/>
  <c r="J1568" i="1"/>
  <c r="J1567" i="1"/>
  <c r="J1566" i="1"/>
  <c r="J1565" i="1"/>
  <c r="J1564" i="1"/>
  <c r="J1563" i="1"/>
  <c r="J1562" i="1"/>
  <c r="J1561" i="1"/>
  <c r="J1560" i="1"/>
  <c r="J1559" i="1"/>
  <c r="J1558" i="1"/>
  <c r="J1557" i="1"/>
  <c r="J1556" i="1"/>
  <c r="J1555" i="1"/>
  <c r="J1554" i="1"/>
  <c r="J1553" i="1"/>
  <c r="J1552" i="1"/>
  <c r="J1551" i="1"/>
  <c r="J1550" i="1"/>
  <c r="J1549" i="1"/>
  <c r="J1548" i="1"/>
  <c r="J1547" i="1"/>
  <c r="J1546" i="1"/>
  <c r="J1545" i="1"/>
  <c r="J1544" i="1"/>
  <c r="J1543" i="1"/>
  <c r="J1542" i="1"/>
  <c r="J1541" i="1"/>
  <c r="J1540" i="1"/>
  <c r="J1539" i="1"/>
  <c r="J1538" i="1"/>
  <c r="J1537" i="1"/>
  <c r="J1536" i="1"/>
  <c r="J1535" i="1"/>
  <c r="J1534" i="1"/>
  <c r="J1533" i="1"/>
  <c r="J1532" i="1"/>
  <c r="J1531" i="1"/>
  <c r="J1530" i="1"/>
  <c r="J1529" i="1"/>
  <c r="J1528" i="1"/>
  <c r="J1527" i="1"/>
  <c r="J1526" i="1"/>
  <c r="J1525" i="1"/>
  <c r="J1524" i="1"/>
  <c r="J1523" i="1"/>
  <c r="J1522" i="1"/>
  <c r="J1521" i="1"/>
  <c r="J1520" i="1"/>
  <c r="J1519" i="1"/>
  <c r="J1518" i="1"/>
  <c r="J1517" i="1"/>
  <c r="J1516" i="1"/>
  <c r="J1515" i="1"/>
  <c r="J1514" i="1"/>
  <c r="J1513" i="1"/>
  <c r="J1512" i="1"/>
  <c r="J1511" i="1"/>
  <c r="J1510" i="1"/>
  <c r="J1509" i="1"/>
  <c r="J1508" i="1"/>
  <c r="J1507" i="1"/>
  <c r="J1506" i="1"/>
  <c r="J1505" i="1"/>
  <c r="J1504" i="1"/>
  <c r="J1503" i="1"/>
  <c r="J1502" i="1"/>
  <c r="J1501" i="1"/>
  <c r="J1500" i="1"/>
  <c r="J1499" i="1"/>
  <c r="J1498" i="1"/>
  <c r="J1497" i="1"/>
  <c r="J1496" i="1"/>
  <c r="J1495" i="1"/>
  <c r="J1494" i="1"/>
  <c r="J1493" i="1"/>
  <c r="J1492" i="1"/>
  <c r="J1491" i="1"/>
  <c r="J1490" i="1"/>
  <c r="J1489" i="1"/>
  <c r="J1488" i="1"/>
  <c r="J1487" i="1"/>
  <c r="J1486" i="1"/>
  <c r="J1485" i="1"/>
  <c r="J1484" i="1"/>
  <c r="J1483" i="1"/>
  <c r="J1482" i="1"/>
  <c r="J1481" i="1"/>
  <c r="J1480" i="1"/>
  <c r="J1479" i="1"/>
  <c r="J1478" i="1"/>
  <c r="J1477" i="1"/>
  <c r="J1476" i="1"/>
  <c r="J1475" i="1"/>
  <c r="J1474" i="1"/>
  <c r="J1473" i="1"/>
  <c r="J1472" i="1"/>
  <c r="J1471" i="1"/>
  <c r="J1470" i="1"/>
  <c r="J1469" i="1"/>
  <c r="J1468" i="1"/>
  <c r="J1467" i="1"/>
  <c r="J1466" i="1"/>
  <c r="J1465" i="1"/>
  <c r="J1464" i="1"/>
  <c r="J1463" i="1"/>
  <c r="J1462" i="1"/>
  <c r="J1461" i="1"/>
  <c r="J1460" i="1"/>
  <c r="J1459" i="1"/>
  <c r="J1458" i="1"/>
  <c r="J1457" i="1"/>
  <c r="J1456" i="1"/>
  <c r="J1455" i="1"/>
  <c r="J1454" i="1"/>
  <c r="J1453" i="1"/>
  <c r="J1452" i="1"/>
  <c r="J1451" i="1"/>
  <c r="J1450" i="1"/>
  <c r="J1449" i="1"/>
  <c r="J1448" i="1"/>
  <c r="J1447" i="1"/>
  <c r="J1446" i="1"/>
  <c r="J1445" i="1"/>
  <c r="J1444" i="1"/>
  <c r="J1443" i="1"/>
  <c r="J1442" i="1"/>
  <c r="J1441" i="1"/>
  <c r="J1440" i="1"/>
  <c r="J1439" i="1"/>
  <c r="J1438" i="1"/>
  <c r="J1437" i="1"/>
  <c r="J1436" i="1"/>
  <c r="J1435" i="1"/>
  <c r="J1434" i="1"/>
  <c r="J1433" i="1"/>
  <c r="J1432" i="1"/>
  <c r="J1431" i="1"/>
  <c r="J1430" i="1"/>
  <c r="J1429" i="1"/>
  <c r="J1428" i="1"/>
  <c r="J1427" i="1"/>
  <c r="J1426" i="1"/>
  <c r="J1425" i="1"/>
  <c r="J1424" i="1"/>
  <c r="J1423" i="1"/>
  <c r="J1422" i="1"/>
  <c r="J1421" i="1"/>
  <c r="J1420" i="1"/>
  <c r="J1419" i="1"/>
  <c r="J1418" i="1"/>
  <c r="J1417" i="1"/>
  <c r="J1416" i="1"/>
  <c r="J1415" i="1"/>
  <c r="J1414" i="1"/>
  <c r="J1413" i="1"/>
  <c r="J1412" i="1"/>
  <c r="J1411" i="1"/>
  <c r="J1410" i="1"/>
  <c r="J1409" i="1"/>
  <c r="J1408" i="1"/>
  <c r="J1407" i="1"/>
  <c r="J1406" i="1"/>
  <c r="J1405" i="1"/>
  <c r="J1404" i="1"/>
  <c r="J1403" i="1"/>
  <c r="J1402" i="1"/>
  <c r="J1401" i="1"/>
  <c r="J1400" i="1"/>
  <c r="J1399" i="1"/>
  <c r="J1398" i="1"/>
  <c r="J1397" i="1"/>
  <c r="J1396" i="1"/>
  <c r="J1395" i="1"/>
  <c r="J1394" i="1"/>
  <c r="J1393" i="1"/>
  <c r="J1392" i="1"/>
  <c r="J1391" i="1"/>
  <c r="J1390" i="1"/>
  <c r="J1389" i="1"/>
  <c r="J1388" i="1"/>
  <c r="J1387" i="1"/>
  <c r="J1386" i="1"/>
  <c r="J1385" i="1"/>
  <c r="J1384" i="1"/>
  <c r="J1383" i="1"/>
  <c r="J1382" i="1"/>
  <c r="J1381" i="1"/>
  <c r="J1380" i="1"/>
  <c r="J1379" i="1"/>
  <c r="J1378" i="1"/>
  <c r="J1377" i="1"/>
  <c r="J1376" i="1"/>
  <c r="J1375" i="1"/>
  <c r="J1374" i="1"/>
  <c r="J1373" i="1"/>
  <c r="J1372" i="1"/>
  <c r="J1371" i="1"/>
  <c r="J1370" i="1"/>
  <c r="J1369" i="1"/>
  <c r="J1368" i="1"/>
  <c r="J1367" i="1"/>
  <c r="J1366" i="1"/>
  <c r="J1365" i="1"/>
  <c r="J1364" i="1"/>
  <c r="J1363" i="1"/>
  <c r="J1362" i="1"/>
  <c r="J1361" i="1"/>
  <c r="J1360" i="1"/>
  <c r="J1359" i="1"/>
  <c r="J1358" i="1"/>
  <c r="J1357" i="1"/>
  <c r="J1356" i="1"/>
  <c r="J1355" i="1"/>
  <c r="J1354" i="1"/>
  <c r="J1353" i="1"/>
  <c r="J1352" i="1"/>
  <c r="J1351" i="1"/>
  <c r="J1350" i="1"/>
  <c r="J1349" i="1"/>
  <c r="J1348" i="1"/>
  <c r="J1347" i="1"/>
  <c r="J1346" i="1"/>
  <c r="J1345" i="1"/>
  <c r="J1344" i="1"/>
  <c r="J1343" i="1"/>
  <c r="J1342" i="1"/>
  <c r="J1341" i="1"/>
  <c r="J1340" i="1"/>
  <c r="J1339" i="1"/>
  <c r="J1338" i="1"/>
  <c r="J1337" i="1"/>
  <c r="J1336" i="1"/>
  <c r="J1335" i="1"/>
  <c r="J1334" i="1"/>
  <c r="J1333" i="1"/>
  <c r="J1332" i="1"/>
  <c r="J1331" i="1"/>
  <c r="J1330" i="1"/>
  <c r="J1329" i="1"/>
  <c r="J1328" i="1"/>
  <c r="J1327" i="1"/>
  <c r="J1326" i="1"/>
  <c r="J1325" i="1"/>
  <c r="J1324" i="1"/>
  <c r="J1323" i="1"/>
  <c r="J1322" i="1"/>
  <c r="J1321" i="1"/>
  <c r="J1320" i="1"/>
  <c r="J1319" i="1"/>
  <c r="J1318" i="1"/>
  <c r="J1317" i="1"/>
  <c r="J1316" i="1"/>
  <c r="J1315" i="1"/>
  <c r="J1314" i="1"/>
  <c r="J1313" i="1"/>
  <c r="J1312" i="1"/>
  <c r="J1311" i="1"/>
  <c r="J1310" i="1"/>
  <c r="J1309" i="1"/>
  <c r="J1308" i="1"/>
  <c r="J1307" i="1"/>
  <c r="J1306" i="1"/>
  <c r="J1305" i="1"/>
  <c r="J1304" i="1"/>
  <c r="J1303" i="1"/>
  <c r="J1302" i="1"/>
  <c r="J1301" i="1"/>
  <c r="J1300" i="1"/>
  <c r="J1299" i="1"/>
  <c r="J1298" i="1"/>
  <c r="J1297" i="1"/>
  <c r="J1296" i="1"/>
  <c r="J1295" i="1"/>
  <c r="J1294" i="1"/>
  <c r="J1293" i="1"/>
  <c r="J1292" i="1"/>
  <c r="J1291" i="1"/>
  <c r="J1290" i="1"/>
  <c r="J1289" i="1"/>
  <c r="J1288" i="1"/>
  <c r="J1287" i="1"/>
  <c r="J1286" i="1"/>
  <c r="J1285" i="1"/>
  <c r="J1284" i="1"/>
  <c r="J1283" i="1"/>
  <c r="J1282" i="1"/>
  <c r="J1281" i="1"/>
  <c r="J1280" i="1"/>
  <c r="J1279" i="1"/>
  <c r="J1278" i="1"/>
  <c r="J1277" i="1"/>
  <c r="J1276" i="1"/>
  <c r="J1275" i="1"/>
  <c r="J1274" i="1"/>
  <c r="J1273" i="1"/>
  <c r="J1272" i="1"/>
  <c r="J1271" i="1"/>
  <c r="J1270" i="1"/>
  <c r="J1269" i="1"/>
  <c r="J1268" i="1"/>
  <c r="J1267" i="1"/>
  <c r="J1266" i="1"/>
  <c r="J1265" i="1"/>
  <c r="J1264" i="1"/>
  <c r="J1263" i="1"/>
  <c r="J1262" i="1"/>
  <c r="J1261" i="1"/>
  <c r="J1260" i="1"/>
  <c r="J1259" i="1"/>
  <c r="J1258" i="1"/>
  <c r="J1257" i="1"/>
  <c r="J1256" i="1"/>
  <c r="J1255" i="1"/>
  <c r="J1254" i="1"/>
  <c r="J1253" i="1"/>
  <c r="J1252" i="1"/>
  <c r="J1251" i="1"/>
  <c r="J1250" i="1"/>
  <c r="J1249" i="1"/>
  <c r="J1248" i="1"/>
  <c r="J1247" i="1"/>
  <c r="J1246" i="1"/>
  <c r="J1245" i="1"/>
  <c r="J1244" i="1"/>
  <c r="J1243" i="1"/>
  <c r="J1242" i="1"/>
  <c r="J1241" i="1"/>
  <c r="J1240" i="1"/>
  <c r="J1239" i="1"/>
  <c r="J1238" i="1"/>
  <c r="J1237" i="1"/>
  <c r="J1236" i="1"/>
  <c r="J1235" i="1"/>
  <c r="J1234" i="1"/>
  <c r="J1233" i="1"/>
  <c r="J1232" i="1"/>
  <c r="J1231" i="1"/>
  <c r="J1230" i="1"/>
  <c r="J1229" i="1"/>
  <c r="J1228" i="1"/>
  <c r="J1227" i="1"/>
  <c r="J1226" i="1"/>
  <c r="J1225" i="1"/>
  <c r="J1224" i="1"/>
  <c r="J1223" i="1"/>
  <c r="J1222" i="1"/>
  <c r="J1221" i="1"/>
  <c r="J1220" i="1"/>
  <c r="J1219" i="1"/>
  <c r="J1218" i="1"/>
  <c r="J1217" i="1"/>
  <c r="J1216" i="1"/>
  <c r="J1215" i="1"/>
  <c r="J1214" i="1"/>
  <c r="J1213" i="1"/>
  <c r="J1212" i="1"/>
  <c r="J1211" i="1"/>
  <c r="J1210" i="1"/>
  <c r="J1209" i="1"/>
  <c r="J1208" i="1"/>
  <c r="J1207" i="1"/>
  <c r="J1206" i="1"/>
  <c r="J1205" i="1"/>
  <c r="J1204" i="1"/>
  <c r="J1203" i="1"/>
  <c r="J1202" i="1"/>
  <c r="J1201" i="1"/>
  <c r="J1200" i="1"/>
  <c r="J1199" i="1"/>
  <c r="J1198" i="1"/>
  <c r="J1197" i="1"/>
  <c r="J1196" i="1"/>
  <c r="J1195" i="1"/>
  <c r="J1194" i="1"/>
  <c r="J1193" i="1"/>
  <c r="J1192" i="1"/>
  <c r="J1191" i="1"/>
  <c r="J1190" i="1"/>
  <c r="J1189" i="1"/>
  <c r="J1188" i="1"/>
  <c r="J1187" i="1"/>
  <c r="J1186" i="1"/>
  <c r="J1185" i="1"/>
  <c r="J1184" i="1"/>
  <c r="J1183" i="1"/>
  <c r="J1182" i="1"/>
  <c r="J1181" i="1"/>
  <c r="J1180" i="1"/>
  <c r="J1179" i="1"/>
  <c r="J1178" i="1"/>
  <c r="J1177" i="1"/>
  <c r="J1176" i="1"/>
  <c r="J1175" i="1"/>
  <c r="J1174" i="1"/>
  <c r="J1173" i="1"/>
  <c r="J1172" i="1"/>
  <c r="J1171" i="1"/>
  <c r="J1170" i="1"/>
  <c r="J1169" i="1"/>
  <c r="J1168" i="1"/>
  <c r="J1167" i="1"/>
  <c r="J1166" i="1"/>
  <c r="J1165" i="1"/>
  <c r="J1164" i="1"/>
  <c r="J1163" i="1"/>
  <c r="J1162" i="1"/>
  <c r="J1161" i="1"/>
  <c r="J1160" i="1"/>
  <c r="J1159" i="1"/>
  <c r="J1158" i="1"/>
  <c r="J1157" i="1"/>
  <c r="J1156" i="1"/>
  <c r="J1155" i="1"/>
  <c r="J1154" i="1"/>
  <c r="J1153" i="1"/>
  <c r="J1152" i="1"/>
  <c r="J1151" i="1"/>
  <c r="J1150" i="1"/>
  <c r="J1149" i="1"/>
  <c r="J1148" i="1"/>
  <c r="J1147" i="1"/>
  <c r="J1146" i="1"/>
  <c r="J1145" i="1"/>
  <c r="J1144" i="1"/>
  <c r="J1143" i="1"/>
  <c r="J1142" i="1"/>
  <c r="J1141" i="1"/>
  <c r="J1140" i="1"/>
  <c r="J1139" i="1"/>
  <c r="J1138" i="1"/>
  <c r="J1137" i="1"/>
  <c r="J1136" i="1"/>
  <c r="J1135" i="1"/>
  <c r="J1134" i="1"/>
  <c r="J1133" i="1"/>
  <c r="J1132" i="1"/>
  <c r="J1131" i="1"/>
  <c r="J1130" i="1"/>
  <c r="J1129" i="1"/>
  <c r="J1128" i="1"/>
  <c r="J1127" i="1"/>
  <c r="J1126" i="1"/>
  <c r="J1125" i="1"/>
  <c r="J1124" i="1"/>
  <c r="J1123" i="1"/>
  <c r="J1122" i="1"/>
  <c r="J1121" i="1"/>
  <c r="J1120" i="1"/>
  <c r="J1119" i="1"/>
  <c r="J1118" i="1"/>
  <c r="J1117" i="1"/>
  <c r="J1116" i="1"/>
  <c r="J1115" i="1"/>
  <c r="J1114" i="1"/>
  <c r="J1113" i="1"/>
  <c r="J1112" i="1"/>
  <c r="J1111" i="1"/>
  <c r="J1110" i="1"/>
  <c r="J1109" i="1"/>
  <c r="J1108" i="1"/>
  <c r="J1107" i="1"/>
  <c r="J1106" i="1"/>
  <c r="J1105" i="1"/>
  <c r="J1104" i="1"/>
  <c r="J1103" i="1"/>
  <c r="J1102" i="1"/>
  <c r="J1101" i="1"/>
  <c r="J1100" i="1"/>
  <c r="J1099" i="1"/>
  <c r="J1098" i="1"/>
  <c r="J1097" i="1"/>
  <c r="J1096" i="1"/>
  <c r="J1095" i="1"/>
  <c r="J1094" i="1"/>
  <c r="J1093" i="1"/>
  <c r="J1092" i="1"/>
  <c r="J1091" i="1"/>
  <c r="J1090" i="1"/>
  <c r="J1089" i="1"/>
  <c r="J1088" i="1"/>
  <c r="J1087" i="1"/>
  <c r="J1086" i="1"/>
  <c r="J1085" i="1"/>
  <c r="J1084" i="1"/>
  <c r="J1083" i="1"/>
  <c r="J1082" i="1"/>
  <c r="J1081" i="1"/>
  <c r="J1080" i="1"/>
  <c r="J1079" i="1"/>
  <c r="J1078" i="1"/>
  <c r="J1077" i="1"/>
  <c r="J1076" i="1"/>
  <c r="J1075" i="1"/>
  <c r="J1074" i="1"/>
  <c r="J1073" i="1"/>
  <c r="J1072" i="1"/>
  <c r="J1071" i="1"/>
  <c r="J1070" i="1"/>
  <c r="J1069" i="1"/>
  <c r="J1068" i="1"/>
  <c r="J1067" i="1"/>
  <c r="J1066" i="1"/>
  <c r="J1065" i="1"/>
  <c r="J1064" i="1"/>
  <c r="J1063" i="1"/>
  <c r="J1062" i="1"/>
  <c r="J1061" i="1"/>
  <c r="J1060" i="1"/>
  <c r="J1059" i="1"/>
  <c r="J1058" i="1"/>
  <c r="J1057" i="1"/>
  <c r="J1056" i="1"/>
  <c r="J1055" i="1"/>
  <c r="J1054" i="1"/>
  <c r="J1053" i="1"/>
  <c r="J1052" i="1"/>
  <c r="J1051" i="1"/>
  <c r="J1050" i="1"/>
  <c r="J1049" i="1"/>
  <c r="J1048" i="1"/>
  <c r="J1047" i="1"/>
  <c r="J1046" i="1"/>
  <c r="J1045" i="1"/>
  <c r="J1044" i="1"/>
  <c r="J1043" i="1"/>
  <c r="J1042" i="1"/>
  <c r="J1041" i="1"/>
  <c r="J1040" i="1"/>
  <c r="J1039" i="1"/>
  <c r="J1038" i="1"/>
  <c r="J1037" i="1"/>
  <c r="J1036" i="1"/>
  <c r="J1035" i="1"/>
  <c r="J1034" i="1"/>
  <c r="J1033" i="1"/>
  <c r="J1032" i="1"/>
  <c r="J1031" i="1"/>
  <c r="J1030" i="1"/>
  <c r="J1029" i="1"/>
  <c r="J1028" i="1"/>
  <c r="J1027" i="1"/>
  <c r="J1026" i="1"/>
  <c r="J1025" i="1"/>
  <c r="J1024" i="1"/>
  <c r="J1023" i="1"/>
  <c r="J1022" i="1"/>
  <c r="J1021" i="1"/>
  <c r="J1020" i="1"/>
  <c r="J1019" i="1"/>
  <c r="J1018" i="1"/>
  <c r="J1017" i="1"/>
  <c r="J1016" i="1"/>
  <c r="J1015" i="1"/>
  <c r="J1014" i="1"/>
  <c r="J1013" i="1"/>
  <c r="J1012" i="1"/>
  <c r="J1011" i="1"/>
  <c r="J1010" i="1"/>
  <c r="J1009" i="1"/>
  <c r="J1008" i="1"/>
  <c r="J1007" i="1"/>
  <c r="J1006" i="1"/>
  <c r="J1005" i="1"/>
  <c r="J1004" i="1"/>
  <c r="J1003" i="1"/>
  <c r="J1002" i="1"/>
  <c r="J1001" i="1"/>
  <c r="J1000" i="1"/>
  <c r="J999" i="1"/>
  <c r="J998" i="1"/>
  <c r="J997" i="1"/>
  <c r="J996" i="1"/>
  <c r="J995" i="1"/>
  <c r="J994" i="1"/>
  <c r="J993" i="1"/>
  <c r="J992" i="1"/>
  <c r="J991" i="1"/>
  <c r="J990" i="1"/>
  <c r="J989" i="1"/>
  <c r="J988" i="1"/>
  <c r="J987" i="1"/>
  <c r="J986" i="1"/>
  <c r="J985" i="1"/>
  <c r="J984" i="1"/>
  <c r="J983" i="1"/>
  <c r="J982" i="1"/>
  <c r="J981" i="1"/>
  <c r="J980" i="1"/>
  <c r="J979" i="1"/>
  <c r="J978" i="1"/>
  <c r="J977" i="1"/>
  <c r="J976" i="1"/>
  <c r="J975" i="1"/>
  <c r="J974" i="1"/>
  <c r="J973" i="1"/>
  <c r="J972" i="1"/>
  <c r="J971" i="1"/>
  <c r="J970" i="1"/>
  <c r="J969" i="1"/>
  <c r="J968" i="1"/>
  <c r="J967" i="1"/>
  <c r="J966" i="1"/>
  <c r="J965" i="1"/>
  <c r="J964" i="1"/>
  <c r="J963" i="1"/>
  <c r="J962" i="1"/>
  <c r="J961" i="1"/>
  <c r="J960" i="1"/>
  <c r="J959" i="1"/>
  <c r="J958" i="1"/>
  <c r="J957" i="1"/>
  <c r="J956" i="1"/>
  <c r="J955" i="1"/>
  <c r="J954" i="1"/>
  <c r="J953" i="1"/>
  <c r="J952" i="1"/>
  <c r="J951" i="1"/>
  <c r="J950" i="1"/>
  <c r="J949" i="1"/>
  <c r="J948" i="1"/>
  <c r="J947" i="1"/>
  <c r="J946" i="1"/>
  <c r="J945" i="1"/>
  <c r="J944" i="1"/>
  <c r="J943" i="1"/>
  <c r="J942" i="1"/>
  <c r="J941" i="1"/>
  <c r="J940" i="1"/>
  <c r="J939" i="1"/>
  <c r="J938" i="1"/>
  <c r="J937" i="1"/>
  <c r="J936" i="1"/>
  <c r="J935" i="1"/>
  <c r="J934" i="1"/>
  <c r="J933" i="1"/>
  <c r="J932" i="1"/>
  <c r="J931" i="1"/>
  <c r="J930" i="1"/>
  <c r="J929" i="1"/>
  <c r="J928" i="1"/>
  <c r="J927" i="1"/>
  <c r="J926" i="1"/>
  <c r="J925" i="1"/>
  <c r="J924" i="1"/>
  <c r="J923" i="1"/>
  <c r="J922" i="1"/>
  <c r="J921" i="1"/>
  <c r="J920" i="1"/>
  <c r="J919" i="1"/>
  <c r="J918" i="1"/>
  <c r="J917" i="1"/>
  <c r="J916" i="1"/>
  <c r="J915" i="1"/>
  <c r="J914" i="1"/>
  <c r="J913" i="1"/>
  <c r="J912" i="1"/>
  <c r="J911" i="1"/>
  <c r="J910" i="1"/>
  <c r="J909" i="1"/>
  <c r="J908" i="1"/>
  <c r="J907" i="1"/>
  <c r="J906" i="1"/>
  <c r="J905" i="1"/>
  <c r="J904" i="1"/>
  <c r="J903" i="1"/>
  <c r="J902" i="1"/>
  <c r="J901" i="1"/>
  <c r="J900" i="1"/>
  <c r="J899" i="1"/>
  <c r="J898" i="1"/>
  <c r="J897" i="1"/>
  <c r="J896" i="1"/>
  <c r="J895" i="1"/>
  <c r="J894" i="1"/>
  <c r="J893" i="1"/>
  <c r="J892" i="1"/>
  <c r="J891" i="1"/>
  <c r="J890" i="1"/>
  <c r="J889" i="1"/>
  <c r="J888" i="1"/>
  <c r="J887" i="1"/>
  <c r="J886" i="1"/>
  <c r="J885" i="1"/>
  <c r="J884" i="1"/>
  <c r="J883" i="1"/>
  <c r="J882" i="1"/>
  <c r="J881" i="1"/>
  <c r="J880" i="1"/>
  <c r="J879" i="1"/>
  <c r="J878" i="1"/>
  <c r="J877" i="1"/>
  <c r="J876" i="1"/>
  <c r="J875" i="1"/>
  <c r="J874" i="1"/>
  <c r="J873" i="1"/>
  <c r="J872" i="1"/>
  <c r="J871" i="1"/>
  <c r="J870" i="1"/>
  <c r="J869" i="1"/>
  <c r="J868" i="1"/>
  <c r="J867" i="1"/>
  <c r="J866" i="1"/>
  <c r="J865" i="1"/>
  <c r="J864" i="1"/>
  <c r="J863" i="1"/>
  <c r="J862" i="1"/>
  <c r="J861" i="1"/>
  <c r="J860" i="1"/>
  <c r="J859" i="1"/>
  <c r="J858" i="1"/>
  <c r="J857" i="1"/>
  <c r="J856" i="1"/>
  <c r="J855" i="1"/>
  <c r="J854" i="1"/>
  <c r="J853" i="1"/>
  <c r="J852" i="1"/>
  <c r="J851" i="1"/>
  <c r="J850" i="1"/>
  <c r="J849" i="1"/>
  <c r="J848" i="1"/>
  <c r="J847" i="1"/>
  <c r="J846" i="1"/>
  <c r="J845" i="1"/>
  <c r="J844" i="1"/>
  <c r="J843" i="1"/>
  <c r="J842" i="1"/>
  <c r="J841" i="1"/>
  <c r="J840" i="1"/>
  <c r="J839" i="1"/>
  <c r="J838" i="1"/>
  <c r="J837" i="1"/>
  <c r="J836" i="1"/>
  <c r="J835" i="1"/>
  <c r="J834" i="1"/>
  <c r="J833" i="1"/>
  <c r="J832" i="1"/>
  <c r="J831" i="1"/>
  <c r="J830" i="1"/>
  <c r="J829" i="1"/>
  <c r="J828" i="1"/>
  <c r="J827" i="1"/>
  <c r="J826" i="1"/>
  <c r="J825" i="1"/>
  <c r="J824" i="1"/>
  <c r="J823" i="1"/>
  <c r="J822" i="1"/>
  <c r="J821" i="1"/>
  <c r="J820" i="1"/>
  <c r="J819" i="1"/>
  <c r="J818" i="1"/>
  <c r="J817" i="1"/>
  <c r="J816" i="1"/>
  <c r="J815" i="1"/>
  <c r="J814" i="1"/>
  <c r="J813" i="1"/>
  <c r="J812" i="1"/>
  <c r="J811" i="1"/>
  <c r="J810" i="1"/>
  <c r="J809" i="1"/>
  <c r="J808" i="1"/>
  <c r="J807" i="1"/>
  <c r="J806" i="1"/>
  <c r="J805" i="1"/>
  <c r="J804" i="1"/>
  <c r="J803" i="1"/>
  <c r="J802" i="1"/>
  <c r="J801" i="1"/>
  <c r="J800" i="1"/>
  <c r="J799" i="1"/>
  <c r="J798" i="1"/>
  <c r="J797" i="1"/>
  <c r="J796" i="1"/>
  <c r="J795" i="1"/>
  <c r="J794" i="1"/>
  <c r="J793" i="1"/>
  <c r="J792" i="1"/>
  <c r="J791" i="1"/>
  <c r="J790" i="1"/>
  <c r="J789" i="1"/>
  <c r="J788" i="1"/>
  <c r="J787" i="1"/>
  <c r="J786" i="1"/>
  <c r="J785" i="1"/>
  <c r="J784" i="1"/>
  <c r="J783" i="1"/>
  <c r="J782" i="1"/>
  <c r="J781" i="1"/>
  <c r="J780" i="1"/>
  <c r="J779" i="1"/>
  <c r="J778" i="1"/>
  <c r="J777" i="1"/>
  <c r="J776" i="1"/>
  <c r="J775" i="1"/>
  <c r="J774" i="1"/>
  <c r="J773" i="1"/>
  <c r="J772" i="1"/>
  <c r="J771" i="1"/>
  <c r="J770" i="1"/>
  <c r="J769" i="1"/>
  <c r="J768" i="1"/>
  <c r="J767" i="1"/>
  <c r="J766" i="1"/>
  <c r="J765" i="1"/>
  <c r="J764" i="1"/>
  <c r="J763" i="1"/>
  <c r="J762" i="1"/>
  <c r="J761" i="1"/>
  <c r="J760" i="1"/>
  <c r="J759" i="1"/>
  <c r="J758" i="1"/>
  <c r="J757" i="1"/>
  <c r="J756" i="1"/>
  <c r="J755" i="1"/>
  <c r="J754" i="1"/>
  <c r="J753" i="1"/>
  <c r="J752" i="1"/>
  <c r="J751" i="1"/>
  <c r="J750" i="1"/>
  <c r="J749" i="1"/>
  <c r="J748" i="1"/>
  <c r="J747" i="1"/>
  <c r="J746" i="1"/>
  <c r="J745" i="1"/>
  <c r="J744" i="1"/>
  <c r="J743" i="1"/>
  <c r="J742" i="1"/>
  <c r="J741" i="1"/>
  <c r="J740" i="1"/>
  <c r="J739" i="1"/>
  <c r="J738" i="1"/>
  <c r="J737" i="1"/>
  <c r="J736" i="1"/>
  <c r="J735" i="1"/>
  <c r="J734" i="1"/>
  <c r="J733" i="1"/>
  <c r="J732" i="1"/>
  <c r="J731" i="1"/>
  <c r="J730" i="1"/>
  <c r="J729" i="1"/>
  <c r="J728" i="1"/>
  <c r="J727" i="1"/>
  <c r="J726" i="1"/>
  <c r="J725" i="1"/>
  <c r="J724" i="1"/>
  <c r="J723" i="1"/>
  <c r="J722" i="1"/>
  <c r="J721" i="1"/>
  <c r="J720" i="1"/>
  <c r="J719" i="1"/>
  <c r="J718" i="1"/>
  <c r="J717" i="1"/>
  <c r="J716" i="1"/>
  <c r="J715" i="1"/>
  <c r="J714" i="1"/>
  <c r="J713" i="1"/>
  <c r="J712" i="1"/>
  <c r="J711" i="1"/>
  <c r="J710" i="1"/>
  <c r="J709" i="1"/>
  <c r="J708" i="1"/>
  <c r="J707" i="1"/>
  <c r="J706" i="1"/>
  <c r="J705" i="1"/>
  <c r="J704" i="1"/>
  <c r="J703" i="1"/>
  <c r="J702" i="1"/>
  <c r="J701" i="1"/>
  <c r="J700" i="1"/>
  <c r="J699" i="1"/>
  <c r="J698" i="1"/>
  <c r="J697" i="1"/>
  <c r="J696" i="1"/>
  <c r="J695" i="1"/>
  <c r="J694" i="1"/>
  <c r="J693" i="1"/>
  <c r="J692" i="1"/>
  <c r="J691" i="1"/>
  <c r="J690" i="1"/>
  <c r="J689" i="1"/>
  <c r="J688" i="1"/>
  <c r="J687" i="1"/>
  <c r="J686" i="1"/>
  <c r="J685" i="1"/>
  <c r="J684" i="1"/>
  <c r="J683" i="1"/>
  <c r="J682" i="1"/>
  <c r="J681" i="1"/>
  <c r="J680" i="1"/>
  <c r="J679" i="1"/>
  <c r="J678" i="1"/>
  <c r="J677" i="1"/>
  <c r="J676" i="1"/>
  <c r="J675" i="1"/>
  <c r="J674" i="1"/>
  <c r="J673" i="1"/>
  <c r="J672" i="1"/>
  <c r="J671" i="1"/>
  <c r="J670" i="1"/>
  <c r="J669" i="1"/>
  <c r="J668" i="1"/>
  <c r="J667" i="1"/>
  <c r="J666" i="1"/>
  <c r="J665" i="1"/>
  <c r="J664" i="1"/>
  <c r="J663" i="1"/>
  <c r="J662" i="1"/>
  <c r="J661" i="1"/>
  <c r="J660" i="1"/>
  <c r="J659" i="1"/>
  <c r="J658" i="1"/>
  <c r="J657" i="1"/>
  <c r="J656" i="1"/>
  <c r="J655" i="1"/>
  <c r="J654" i="1"/>
  <c r="J653" i="1"/>
  <c r="J652" i="1"/>
  <c r="J651" i="1"/>
  <c r="J650" i="1"/>
  <c r="J649" i="1"/>
  <c r="J648" i="1"/>
  <c r="J647" i="1"/>
  <c r="J646" i="1"/>
  <c r="J645" i="1"/>
  <c r="J644" i="1"/>
  <c r="J643" i="1"/>
  <c r="J642" i="1"/>
  <c r="J641" i="1"/>
  <c r="J640" i="1"/>
  <c r="J639" i="1"/>
  <c r="J638" i="1"/>
  <c r="J637" i="1"/>
  <c r="J636" i="1"/>
  <c r="J635" i="1"/>
  <c r="J634" i="1"/>
  <c r="J633" i="1"/>
  <c r="J632" i="1"/>
  <c r="J631" i="1"/>
  <c r="J630" i="1"/>
  <c r="J629" i="1"/>
  <c r="J628" i="1"/>
  <c r="J627" i="1"/>
  <c r="J626" i="1"/>
  <c r="J625" i="1"/>
  <c r="J624" i="1"/>
  <c r="J623" i="1"/>
  <c r="J622" i="1"/>
  <c r="J621" i="1"/>
  <c r="J620" i="1"/>
  <c r="J619" i="1"/>
  <c r="J618" i="1"/>
  <c r="J617" i="1"/>
  <c r="J616" i="1"/>
  <c r="J615" i="1"/>
  <c r="J614" i="1"/>
  <c r="J613" i="1"/>
  <c r="J612" i="1"/>
  <c r="J611" i="1"/>
  <c r="J610" i="1"/>
  <c r="J609" i="1"/>
  <c r="J608" i="1"/>
  <c r="J607" i="1"/>
  <c r="J606" i="1"/>
  <c r="J605" i="1"/>
  <c r="J604" i="1"/>
  <c r="J603" i="1"/>
  <c r="J602" i="1"/>
  <c r="J601" i="1"/>
  <c r="J600" i="1"/>
  <c r="J599" i="1"/>
  <c r="J598" i="1"/>
  <c r="J597" i="1"/>
  <c r="J596" i="1"/>
  <c r="J595" i="1"/>
  <c r="J594" i="1"/>
  <c r="J593" i="1"/>
  <c r="J592" i="1"/>
  <c r="J591" i="1"/>
  <c r="J590" i="1"/>
  <c r="J589" i="1"/>
  <c r="J588" i="1"/>
  <c r="J587" i="1"/>
  <c r="J586" i="1"/>
  <c r="J585" i="1"/>
  <c r="J584" i="1"/>
  <c r="J583" i="1"/>
  <c r="J582" i="1"/>
  <c r="J581" i="1"/>
  <c r="J580" i="1"/>
  <c r="J579" i="1"/>
  <c r="J578" i="1"/>
  <c r="J577" i="1"/>
  <c r="J576" i="1"/>
  <c r="J575" i="1"/>
  <c r="J574" i="1"/>
  <c r="J573" i="1"/>
  <c r="J572" i="1"/>
  <c r="J571" i="1"/>
  <c r="J570" i="1"/>
  <c r="J569" i="1"/>
  <c r="J568" i="1"/>
  <c r="J567" i="1"/>
  <c r="J566" i="1"/>
  <c r="J565" i="1"/>
  <c r="J564" i="1"/>
  <c r="J563" i="1"/>
  <c r="J562" i="1"/>
  <c r="J561" i="1"/>
  <c r="J560" i="1"/>
  <c r="J559" i="1"/>
  <c r="J558" i="1"/>
  <c r="J557" i="1"/>
  <c r="J556" i="1"/>
  <c r="J555" i="1"/>
  <c r="J554" i="1"/>
  <c r="J553" i="1"/>
  <c r="J552" i="1"/>
  <c r="J551" i="1"/>
  <c r="J550" i="1"/>
  <c r="J549" i="1"/>
  <c r="J548" i="1"/>
  <c r="J547" i="1"/>
  <c r="J546" i="1"/>
  <c r="J545" i="1"/>
  <c r="J544" i="1"/>
  <c r="J543" i="1"/>
  <c r="J542" i="1"/>
  <c r="J541" i="1"/>
  <c r="J540" i="1"/>
  <c r="J539" i="1"/>
  <c r="J538" i="1"/>
  <c r="J537" i="1"/>
  <c r="J536" i="1"/>
  <c r="J535" i="1"/>
  <c r="J534" i="1"/>
  <c r="J533" i="1"/>
  <c r="J532" i="1"/>
  <c r="J531" i="1"/>
  <c r="J530" i="1"/>
  <c r="J529" i="1"/>
  <c r="J528" i="1"/>
  <c r="J527" i="1"/>
  <c r="J526" i="1"/>
  <c r="J525" i="1"/>
  <c r="J524" i="1"/>
  <c r="J523" i="1"/>
  <c r="J522" i="1"/>
  <c r="J521" i="1"/>
  <c r="J520" i="1"/>
  <c r="J519" i="1"/>
  <c r="J518" i="1"/>
  <c r="J517" i="1"/>
  <c r="J516" i="1"/>
  <c r="J515" i="1"/>
  <c r="J514" i="1"/>
  <c r="J513" i="1"/>
  <c r="J512" i="1"/>
  <c r="J511" i="1"/>
  <c r="J510" i="1"/>
  <c r="J509" i="1"/>
  <c r="J508" i="1"/>
  <c r="J507" i="1"/>
  <c r="J506" i="1"/>
  <c r="J505" i="1"/>
  <c r="J504" i="1"/>
  <c r="J503" i="1"/>
  <c r="J502" i="1"/>
  <c r="J501" i="1"/>
  <c r="J500" i="1"/>
  <c r="J499" i="1"/>
  <c r="J498" i="1"/>
  <c r="J497" i="1"/>
  <c r="J496" i="1"/>
  <c r="J495" i="1"/>
  <c r="J494" i="1"/>
  <c r="J493" i="1"/>
  <c r="J492" i="1"/>
  <c r="J491" i="1"/>
  <c r="J490" i="1"/>
  <c r="J489" i="1"/>
  <c r="J488" i="1"/>
  <c r="J487" i="1"/>
  <c r="J486" i="1"/>
  <c r="J485" i="1"/>
  <c r="J484" i="1"/>
  <c r="J483" i="1"/>
  <c r="J482" i="1"/>
  <c r="J481" i="1"/>
  <c r="J480" i="1"/>
  <c r="J479" i="1"/>
  <c r="J478" i="1"/>
  <c r="J477" i="1"/>
  <c r="J476" i="1"/>
  <c r="J475" i="1"/>
  <c r="J474" i="1"/>
  <c r="J473" i="1"/>
  <c r="J472"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31" i="1"/>
  <c r="J430" i="1"/>
  <c r="J429" i="1"/>
  <c r="J428" i="1"/>
  <c r="J427" i="1"/>
  <c r="J426" i="1"/>
  <c r="J425" i="1"/>
  <c r="J424" i="1"/>
  <c r="J423" i="1"/>
  <c r="J422" i="1"/>
  <c r="J421" i="1"/>
  <c r="J420" i="1"/>
  <c r="J419" i="1"/>
  <c r="J418" i="1"/>
  <c r="J417" i="1"/>
  <c r="J416" i="1"/>
  <c r="J415" i="1"/>
  <c r="J414" i="1"/>
  <c r="J413" i="1"/>
  <c r="J412" i="1"/>
  <c r="J411" i="1"/>
  <c r="J410" i="1"/>
  <c r="J409" i="1"/>
  <c r="J408" i="1"/>
  <c r="J407" i="1"/>
  <c r="J406" i="1"/>
  <c r="J405" i="1"/>
  <c r="J404" i="1"/>
  <c r="J403" i="1"/>
  <c r="J402" i="1"/>
  <c r="J401" i="1"/>
  <c r="J400" i="1"/>
  <c r="J399" i="1"/>
  <c r="J398" i="1"/>
  <c r="J397" i="1"/>
  <c r="J396" i="1"/>
  <c r="J395" i="1"/>
  <c r="J394"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3" i="1"/>
  <c r="J332"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8" i="1"/>
  <c r="J267" i="1"/>
  <c r="J266" i="1"/>
  <c r="J265" i="1"/>
  <c r="J264" i="1"/>
  <c r="J263" i="1"/>
  <c r="J262" i="1"/>
  <c r="J261" i="1"/>
  <c r="J260" i="1"/>
  <c r="J259" i="1"/>
  <c r="J258" i="1"/>
  <c r="J257" i="1"/>
  <c r="J256" i="1"/>
  <c r="J255" i="1"/>
  <c r="J254" i="1"/>
  <c r="J253" i="1"/>
  <c r="J252" i="1"/>
  <c r="J251" i="1"/>
  <c r="J250" i="1"/>
  <c r="J249" i="1"/>
  <c r="J248" i="1"/>
  <c r="J247" i="1"/>
  <c r="J246" i="1"/>
  <c r="J245" i="1"/>
  <c r="J244"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alcChain>
</file>

<file path=xl/sharedStrings.xml><?xml version="1.0" encoding="utf-8"?>
<sst xmlns="http://schemas.openxmlformats.org/spreadsheetml/2006/main" count="36558" uniqueCount="10145">
  <si>
    <t>Índice onomástico anual · Gacetas oficiales de 1819</t>
  </si>
  <si>
    <t>Del 1 de enero al 31 de diciembre de 1819 · Gaceta de Madrid</t>
  </si>
  <si>
    <t>Aviso: índice generado a partir del OCR de facsímiles históricos. Las grafías y lecturas dudosas deben cotejarse con la página enlazada.</t>
  </si>
  <si>
    <t>4022 menciones · 159 archivos oficiales · 1312 páginas digitalizadas</t>
  </si>
  <si>
    <t>Apellidos y nombre (orden estimado)</t>
  </si>
  <si>
    <t>Nombre leído</t>
  </si>
  <si>
    <t>Motivo de aparición</t>
  </si>
  <si>
    <t>Organismo o sección</t>
  </si>
  <si>
    <t>Fecha</t>
  </si>
  <si>
    <t>Publicación y nº</t>
  </si>
  <si>
    <t>Página</t>
  </si>
  <si>
    <t>Observaciones</t>
  </si>
  <si>
    <t>Extracto original OCR</t>
  </si>
  <si>
    <t>Facsímil (página)</t>
  </si>
  <si>
    <t>Estado de lectura</t>
  </si>
  <si>
    <t>A, A.</t>
  </si>
  <si>
    <t>A. A</t>
  </si>
  <si>
    <t>Actividad económica o mercantil</t>
  </si>
  <si>
    <t>Noticias y disposiciones</t>
  </si>
  <si>
    <t>Gaceta de Madrid n.º 134</t>
  </si>
  <si>
    <t>PDF p. 10</t>
  </si>
  <si>
    <t>Lectura automática dudosa; cotejar el facsímil</t>
  </si>
  <si>
    <t>…N. 80. Núm. 32. D. Agustín Sanz, maestro sastre, 60. Núm. 33. D. A. V. 100.Nú mero 34. D. Ventura Fernandez loo. Núm. 35. D. Manuel Centurión320. Núm. 36. D. M. H. 1500. Núm. 37. D. A. A. 20. Asimismo se han suscrito para el mismo caritativo objeto los señores si guientes: ! ; Número i.° D. Torcuato Torio de la Riva, durante la epidemia, por 40 rs. al mes-Núm. 2.°. Doña Juana Perez, por idem, por 10 rs. semanales. Núm. 3.0 D. Vicente García, p…</t>
  </si>
  <si>
    <t>Revisar OCR</t>
  </si>
  <si>
    <t>A, Francisco Antonio</t>
  </si>
  <si>
    <t>Francisco Antonio A</t>
  </si>
  <si>
    <t>Publicación o actividad intelectual</t>
  </si>
  <si>
    <t>Gaceta de Madrid n.º 41</t>
  </si>
  <si>
    <t>PDF p. 8</t>
  </si>
  <si>
    <t>…elevaciones del alma sobre cada uno de los misterios de Jesucristo y sobre cada una de sus cualidades. Obra útilísima á. todo género de per sonas, traducida del francés por el Dr. D. Francisco Antonio A le pian,, presbítero., Van añadidas algunas meditaciones sobre los votos dé! bautismo, que se hallan al fifl[ de la'obrá: cuatro; tomos en'8.° Se hallarán en la librería de Tieso, calle de las Car retas, á 40 rs. en pasta., _ . . ■&gt; Nueva descripción de la ti…</t>
  </si>
  <si>
    <t>A, J. A.</t>
  </si>
  <si>
    <t>J. A. A</t>
  </si>
  <si>
    <t>Gaceta de Madrid n.º 138</t>
  </si>
  <si>
    <t>PDF p. 6</t>
  </si>
  <si>
    <t>…úm. 155. El Excmo. Sr. Nuncio de S. S. 1®. Núm. 156. D. J. Y. A. 320. Núm* 157. D. J. L. T. 60. Núm. 158. Doña N. 6. Núm. 159. Doña F. V* 100. Núm. ióq. D. A. R. Z. 100. Núm. 161. D. J. A. A. 120. Nú mero 162. D. N. 320. Núm. 163. D. F. F. 60. Núm. 164. D. N. N. 133. Núm. ió$. Pablo de la Cuesta 10. Núm. 166. D. Josef María de Pando 500. Núm. 167. D. K. Z. 20. Núm. 168. D. J. J, J. 332 rs. y 32 mrs. Núme ro 169. D. M. P. 20. Núm. 170. D. J. H. 120…</t>
  </si>
  <si>
    <t>A, J. de</t>
  </si>
  <si>
    <t>J. de A</t>
  </si>
  <si>
    <t>Gaceta de Madrid n.º 141</t>
  </si>
  <si>
    <t>PDF p. 5</t>
  </si>
  <si>
    <t>…y cura de S. . Martin de Macíríd , por limosnas recibidas, de sus feligreses¿1382 rs. y ib mrs; Núm. 3 49;- El señor cura de S. GineYde Madrid, por limosna recibida de su feligrés D. J. de A i 400. Núm. 35 o. "Doña JM. M. 60. Núm. 351. Doña N. 40. Núm. 352. Grégoria Acedo, criada sir viente, de su salario 20. Núm. 353. Él Excmo. Sr. duque de;Sedavi 360. Núm. 354. Juana Perez 20. Núm. 355'. D. J; M. y B. 40. Núm. 356.. Los individuos del gremio de…</t>
  </si>
  <si>
    <t>A, J. T.</t>
  </si>
  <si>
    <t>J. T. A</t>
  </si>
  <si>
    <t>Donativo, suscripción o relación nominal</t>
  </si>
  <si>
    <t>España</t>
  </si>
  <si>
    <t>Gaceta de Madrid n.º 156</t>
  </si>
  <si>
    <t>…de Olivares 1®. Núm. 6&lt;5o. Doña S. S. 60. Núm..661. D. J. E. M, too. .Núm, 662. Doña M. N. 320. Núm. 663. Un feligrés de S. Pedro de Ma drid , por mano de su párroco, 8. Núm. 664. D. J. T. A. 60. Asimismo se lia suscrito: Núm. 51. El limo. Sr. obispo de Albarracin con 2 reales, diarios por es pacio de cuatro meses- . ‘ Los recibos de intereses, de vales cedidos ( véase donativos 453) produje ron 42 rs. y 10 mrs. Los dos vales de 150 pesos, {véase…</t>
  </si>
  <si>
    <t>A, J. Y.</t>
  </si>
  <si>
    <t>J. Y. A</t>
  </si>
  <si>
    <t>…. 151. D. A. C. 220. Núm. 152. D. Faustino Sánchez Sevillano 200. Núm. 153. D. N. 160. Núm. 154. D. F. F. C. 320 rs. y 24 mrs Núm. 155. El Excmo. Sr. Nuncio de S. S. 1®. Núm. 156. D. J. Y. A. 320. Núm* 157. D. J. L. T. 60. Núm. 158. Doña N. 6. Núm. 159. Doña F. V* 100. Núm. ióq. D. A. R. Z. 100. Núm. 161. D. J. A. A. 120. Nú mero 162. D. N. 320. Núm. 163. D. F. F. 60. Núm. 164. D. N. N. 133. Núm. ió$. Pablo de la Cuesta 10. Núm. 166. D. Josef Marí…</t>
  </si>
  <si>
    <t>A, L.</t>
  </si>
  <si>
    <t>L. A</t>
  </si>
  <si>
    <t>…m. 379* IL A.. U. 66 rs. y 18 mrs. Aíume— ro 380. D. N. 60. Núm. 381. Doña Y. R. 22 rs. y 4 mrs. Núm. 382. El Excmo. Sr. duque de Montemar 400. Núm. 383. D. J. G. D. 40. Núm. 384. D. L. A. 100. Asimismo se ha suscrito: Núm. 36. D. Francisco Perez Gaya , maestro de capilla de Avila, durante la epidemia, con 30 reales mensuales; y por el mismo tiempo cede su sobrina Segunda Hernández, niña de cinco años, los 20 reales mensuales cón que se la grat…</t>
  </si>
  <si>
    <t>A, M.</t>
  </si>
  <si>
    <t>M. A</t>
  </si>
  <si>
    <t>Gaceta de Madrid n.º 136</t>
  </si>
  <si>
    <t>PDF p. 7</t>
  </si>
  <si>
    <t>…0 rs. cada uno. Núm. 12. D. Eugenio Villaseñor, mientras dure la epidemia, con 6 rs. diarios. Núm. 13. Sr. C. de A. R., mientras dure la epidemia, con 100 rs. mensuales. Nú ni. 14 D. M. A., por idem., con 20 rs. ídem. Núm. 15. D Santiago Antonio de Urizar, por idem.., con 20 rs. semanales. Núm. 16. D. F. Y., por Idem, con 120 rs. mensuales. Núm; 17. D. Y. V.., por idem, con 6b rs. idem. Núm. 18. Don V. R., por idem, con 160 rs. idem. Núm. 19. D…</t>
  </si>
  <si>
    <t>A, R.</t>
  </si>
  <si>
    <t>R. A</t>
  </si>
  <si>
    <t>Mención en noticia o disposición</t>
  </si>
  <si>
    <t>…n vale Real de 150 pesos. Núm. 25. D. N. 100. Núm. 26. Doña N. 20. Núme ro 27. D. D. B . 100. Núm. 28. D. Francisco Lledias 200. Núm. 29. D. Do mingo Ortiz de Urbina 200. Núm. 30. D. R. A. 20. Núm. 31. D. N. 80. Núm. 32. D. Agustín Sanz, maestro sastre, 60. Núm. 33. D. A. V. 100.Nú mero 34. D. Ventura Fernandez loo. Núm. 35. D. Manuel Centurión320. Núm. 36. D. M. H. 1500. Núm. 37. D. A. A. 20. Asimismo se han suscrito para el mismo caritativo o…</t>
  </si>
  <si>
    <t>Abad, Manuel</t>
  </si>
  <si>
    <t>Manuel Abad</t>
  </si>
  <si>
    <t>Nombramiento o servicio público</t>
  </si>
  <si>
    <t>Gaceta de Madrid n.º 77</t>
  </si>
  <si>
    <t>Nombre detectado automáticamente; cotejar si se va a citar</t>
  </si>
  <si>
    <t>…término de-1f^diaS; contados desde el en que se haga el tercer anuncio de este aviso en la gaceta, comparezcan en dicho supremo tribunal por la ésGribanía; de Cámara del cargo de D. Manuel Abad, y por medio de procurado* con poder bastante, á exponer lo que tengan por conveniente sobre la moratoria solicitada por la menciohada compañía; con apercibimiento de que pasado' dicho término íes tara á los. qüe no compareciesen el perjuicio que'hayalugar,;y…</t>
  </si>
  <si>
    <t>Lectura OCR</t>
  </si>
  <si>
    <t>Abadía, Ignacio</t>
  </si>
  <si>
    <t>Ignacio Abadía</t>
  </si>
  <si>
    <t>…ndido á su arcedianato, y cuanto produzca esta dignidad mientras dure la epidemia. En seguida han entregado por una vez para socorro de ios pueblos afligi dos con ella: Número i.° D. Ignacio Abadía 1600 rs. vn. Núm. 2° D. N. 500. Nú mero v° D. Francisco íernandez Vega 120. Núm. 4.0 D. Torcuato Torio de la Riva 300. Núm. 5.0 Doña N. 40. Núm. 6° D. N. 121 rs. y 22 mrs. Núm. 7.0 D. M. Z. 320. Núm. B.° D. N.112. Núm. 9;° D N. 320 rs. y 24 mrs. Núm. 10. D. N…</t>
  </si>
  <si>
    <t>Abarca, Miguel Alvarez</t>
  </si>
  <si>
    <t>Miguel Alvarez Abarca</t>
  </si>
  <si>
    <t>Gaceta de Madrid n.º 144</t>
  </si>
  <si>
    <t>…si halla medios con que ocurrir á los gastos acceso rios indispensables, mereciendo la aceptación de todos la composición,en ver-SOíque leyó su autor el teniente de navio retirado D. Miguel Alvarez Abarca janáloga-aí.'Qstfinto, despbes de la cual, y publicado que fue el programa de los premios ofrecidos , se adjudicaron según el mérito de los aspirantes;, cy^áotina.sde-las maestras‘á quien no copo ninguno de los. premios ofre cidos se adjudicó otro extraordina…</t>
  </si>
  <si>
    <t>Abev, Josef</t>
  </si>
  <si>
    <t>Josef Abev</t>
  </si>
  <si>
    <t>Gaceta de Madrid n.º 4</t>
  </si>
  <si>
    <t>…havarri, D Rafael Sentistillano y Pescio, D. Luis Basols y Marañosa, D. Josef Pezuela y Heres, D. Juan Eiizaide y Royo, ,D. Diego Guerrero y Sedaño, D. Julián Velarde y Santillan, D. Josef Abev11a y Conde, D. Juan Teran y Caldera , D. Juan DFIerve y Paredes, Don Francisco Navas Garro de Ulloa, D. Antonio Solís y González, D. Julián Giraldo y Molina, D. Joaquín Muñoz y Larraiñzár ¿ D; Salvador Hidalgo y Sarria, D. Juan Labastida y Bustamante, D. Vicé…</t>
  </si>
  <si>
    <t>Aca</t>
  </si>
  <si>
    <t>Operaciones o servicios militares</t>
  </si>
  <si>
    <t>Noticias militares</t>
  </si>
  <si>
    <t>Gaceta de Madrid n.º 126</t>
  </si>
  <si>
    <t>…ón de Tiznados. D. Josef Benedicto Brache, natural del Pao* Aprobado en su empleo de capítan, y obtuvo el Don personal. Capitanes■* D. Josef Antonio Ochoa, D. Manuel Felipe Ochoa, D. Aca rio Ramos, naturales de la villa del Pao. Aprobados en sus empleos de capí* tañes de milicias; la nobleza personal, y la medalla de oro á ambos Ochoas. Capitán de milicias de Cumand. D. Josef León Gómez. La nobleza per sonal.'' Capitán de milicias de artiller…</t>
  </si>
  <si>
    <t>Ace, Bernardo Alvarez</t>
  </si>
  <si>
    <t>Bernardo Alvarez Ace</t>
  </si>
  <si>
    <t>Gaceta de Madrid n.º 35</t>
  </si>
  <si>
    <t>…lo prevenido en la Real cédula de 19 de Febrero de 1815 expusieren y pidiesen en la sala de Provincia de dicho supremo tri bunal lo que hallaren por conveniente. Y á instancia del D. Bernardo Alvarez Ace ro se ha servido acordar el Consejo que para que pueda tener efecto esta soberana re solución de S. M. se cite y emplace por medio de este periódico á D. Joaquín de Cifuentes y á los herederos de D. Melchor Ronci, para que en el preciso y perento rio término…</t>
  </si>
  <si>
    <t>Acero, Bernardo Alvarez</t>
  </si>
  <si>
    <t>Bernardo Alvarez Acero</t>
  </si>
  <si>
    <t>…o del Rey nuestro Señor, lo hice escribir por su mandado.” . En el ano de 1807 se promovieron autos ante el corregidor que á la sazón era de está muy heroica villa, á Instancia de D. Bernardo Alvarez Acero, maestro de mú sico de los teatros dé la misma, contra D. Melchor Ronci y D. Joaquín de Cifuen tes, su socio,sobre pago de 25,687 rs. y 28 mrs. de vn. que aquel reclamaba de estos por las mesadas de Enero y Febrero de 1802 , que satisfizo á los profesores que…</t>
  </si>
  <si>
    <t>Acosta, Pedro</t>
  </si>
  <si>
    <t>Pedro Acosta</t>
  </si>
  <si>
    <t>Gaceta de Madrid n.º 143</t>
  </si>
  <si>
    <t>PDF p. 11</t>
  </si>
  <si>
    <t>…rancisco Orcialy D Fran cisco Alvarez , siendo herido el primero; el alférez D. Miguel. Guzman, el sargento primero Santos Miguel y el segundo Venancio Rodríguez, y el distinguido D. Pedro Acosta. Lo comunico á V- S. para su conocimiento y satisfacción. Dios guarde á V. S. muchos años. Trapiche de la Gamarra 27 de Marzo de 1819. == Josef Pereira. = Sr. comandante general D. -Francisco Tomas Morales. = Cuyo contenido traslado á V. E. para su superior c…</t>
  </si>
  <si>
    <t>Acuavera, Simón</t>
  </si>
  <si>
    <t>Simón Acuavera</t>
  </si>
  <si>
    <t>Gaceta de Madrid n.º 157</t>
  </si>
  <si>
    <t>…idor ¿ que S. M. B.=6 de Abril de 1819.” Madrid 22 de Diciembre. El día 21 del pasado tuvieron la honra de felicitar á S. M. por su augus to enlace á nombre de la ciudad de Teruel D. Simón Acuavera, su brigadier de guardias de la Real Persona, y D. Antonio Becerril Hinojosa, alcalde ma yor electo por S. M. de la villa de los Barrios en el Campo de S. Roque; habiendo arengado este á S. M. en los términos siguiéntes: ,, Señor: Gomo comisionados y á nombre…</t>
  </si>
  <si>
    <t>Adám</t>
  </si>
  <si>
    <t>Gaceta de Madrid n.º 101</t>
  </si>
  <si>
    <t>PDF p. 3</t>
  </si>
  <si>
    <t>…o impidiese la entrada de los turcos, que ya se habían acercado á la ciudad / protegiendo aí mismo tiempo con toda eficacia el embarco y salida de sus habitantes. Dichosamente ett general Adám logro «persuadir ál comandante turco que hiciesé'alto con sus tropas, y habiendo lie*gado.lafragata Grlasgotú &amp; Parga, se embarcaron en varios buques sus habi tantes, y llegaron á Corfú protegidos por la fragata. Entraron los turcos eit 'la ciudad, y ta hálla…</t>
  </si>
  <si>
    <t>Adame, Pedro Josef de</t>
  </si>
  <si>
    <t>Pedro Josef de Adame</t>
  </si>
  <si>
    <t>Gaceta de Madrid n.º 76</t>
  </si>
  <si>
    <t>…l dia 30 del corriente, á las 12, en la audiencia del mismo señor. A instancia de la dueña de una casa, sita en la plazuela del Angel de esta cor te, que perteneció al cóhcurso de D. Pedro Josef de Adame, y en virtud de provi dencia de 21 de Mayo próximo pasado del Sr. D. Martin de Gaztañaga, dei Conse jo de S. M., su alcalde ^e Casa y Corte, refrendada del escribano de,provincia y co misiones de la misma D. Manuel López de Rivas, se cita, llama y emplaza por…</t>
  </si>
  <si>
    <t>Adan, Josef</t>
  </si>
  <si>
    <t>Josef Adan</t>
  </si>
  <si>
    <t>Gaceta de Madrid n.º 68</t>
  </si>
  <si>
    <t>…ieron premio los siguientes: en la primera clase D. Lorenzo Moret, niño del mas singular despejo, y que solo cuenta 16 meses de instrucción; D. Manuel Bommatí, D. Jacobo Pa checo, D. Josef Adan, D. Salvador Várela , D. Juan Mateo, D. Antonio Medina y D. Ramón Martínez. En la segunda D* Ignacio Várela , D. MañuefRodríguez Campo , D; Manuel-García, D. Pedro Ochoa, D. Francisco Herrera, D. Joaquín Meana .y D. Miguel Arrimada. En la tercera D. Josef Gut…</t>
  </si>
  <si>
    <t>Adan, Juan</t>
  </si>
  <si>
    <t>Juan Adan</t>
  </si>
  <si>
    <t>Gaceta de Madrid n.º 52</t>
  </si>
  <si>
    <t>445</t>
  </si>
  <si>
    <t>…ra de las Angustias en pliego de marca mayor, como se; venera, "en el trascoro de la iglesia catedral de Málaga, dibujada por £&gt;« Cosme Acuña de la célebre escultura egecutada por D. Juan Adan, y grabada por D. Elas Ametllergrabádpr.de Cámara de\S, M. Se ‘hallará en el despacho de la calcografía, de la imprenta Ryal , á_ 40 rs. cada, egemplar-; Por provideilciáÜel ST t&gt;^"Mañuél joléf Rubio,’ del Consejó dé S/XÍ., te bien-" te corregidor de esta muy…</t>
  </si>
  <si>
    <t>Adurriaga, Ramón de</t>
  </si>
  <si>
    <t>Ramón de Adurriaga</t>
  </si>
  <si>
    <t>Gaceta de Madrid n.º 37</t>
  </si>
  <si>
    <t>320</t>
  </si>
  <si>
    <t>…. En el remate del cenótafio se colocaron sobre almohadas de terciopelo negro galoneadas de oro las in signias Reales de corona y cetro. Ofreció el santo sacrificio de la misa, el Sr. D. Ramón de Adurriaga, deán de dicha santa iglesia, oficiada por la capilla música de ella en el estilo mas patético: siguió la oración fúnebre, compuesta y pronunciada por el Dr. Don Manuel Fraile, dignidad de prior y canónigo penitenciario de la misma, elec-± lo obispo de Sigüen…</t>
  </si>
  <si>
    <t>Agua, Josef</t>
  </si>
  <si>
    <t>Josef Agua</t>
  </si>
  <si>
    <t>Gaceta de Madrid n.º 15</t>
  </si>
  <si>
    <t>125</t>
  </si>
  <si>
    <t>…olorosa pérdida que la nación acaba de experi mentar en la temprana muerte de una'Reina adornada dé todas las virtudes, como lo demostró en su muy elocuente oración fúnebre el Dr. D. Josef Agua do , predicador de níímero de S. M., dignidad de arcediano de Olmedo, y canónigo de la misma Sta. iglesia, excitando la ternura y las lágrimas de to dos los oyentes. . . . . . , . i . r ‘"‘' Por él juzgado de la subdelegácion general de bienes mostrencos, vac…</t>
  </si>
  <si>
    <t>Aguado, Antonio López</t>
  </si>
  <si>
    <t>Antonio López Aguado</t>
  </si>
  <si>
    <t>Gaceta de Madrid n.º 119</t>
  </si>
  <si>
    <t>…ma y ropa. Madrid 27 de Setiembre. .Noticia de las obras qué por cuenta de S. M. y de esta muy heroica 'villa se ¡están construyendo bajo la dirección del arquitecto mayor de ella D. Antonio López Aguado (1). ■ - ~i - - ' • -. • ; n r : ..... ... ' ¡ Al frente de la fachada del costado del Real palacio, en la plaza llamada de Oriente, so está edificando una circular, en la cual forma medio el magnífi co teatro qué se construye, cuyo baso es una figura elíptic…</t>
  </si>
  <si>
    <t>Aguado, Luis de</t>
  </si>
  <si>
    <t>Luis de Aguado</t>
  </si>
  <si>
    <t>…desplegué la guerrilla á las órdenes de los tenientes Di Mariano Peraza y D. Antonio Na ranjo , manteniéndome firme; y mandé al ayudante general de la caballería de esta división D. Luis de Aguado para que dirigiese los dos restantes escua drones por donde creyera mejor el ataque: á poco rato los vi por mi derecha que atacaban al galope el flanco izquierdo de los enemigos, á las órdenes del comandante de escuadrón D. Manuel Morales; y advirtiendo la 'i…</t>
  </si>
  <si>
    <t>Aguado, Ramón Josef</t>
  </si>
  <si>
    <t>Ramón Josef Aguado</t>
  </si>
  <si>
    <t>Fallecimiento, herencia o memoria</t>
  </si>
  <si>
    <t>Gaceta de Madrid n.º 29</t>
  </si>
  <si>
    <t>PDF p. 12</t>
  </si>
  <si>
    <t>…vincia , fecha eñ Madrid 27 de Noviembre de 1696. - 20. Testamento de Doña María. Laguna-, vecina de esta corte, con otro^ varios papeleé; otorgada en 30 de Diciembre de 1787'ante D. Ramón Josef Aguado, escribano Real en esta córte. 21. Testimonio de úna escritura de imposición de censo, otorgada por Doña Beatriz Ramírez de Mendoza, condesa del Castellar , viuda de D. Fer nando Ramírez Saavedra, de 6® ducados, en favor de D. Juan Valle de Medrano y Doña Man…</t>
  </si>
  <si>
    <t>Agüero, Juan Vázquez</t>
  </si>
  <si>
    <t>Juan Vázquez Agüero</t>
  </si>
  <si>
    <t>Gaceta de Madrid n.º 28</t>
  </si>
  <si>
    <t>245</t>
  </si>
  <si>
    <t>…de ijco ducados de principal redimido y subrogado á favor de la prociiraCion general de padres carmelitas descalzos, con facultad de S. M. por él marques de Castrillo, á favor de D. Juan Vázquez Agüero, sobre la vi lla de Masegoso, su jurisdicción, tercias y demas bienes. , 9. '0' Testamento que en Ja ciudad de Córdoba,,en 18 de Junio de 1730, otorgó el Sr. D. Manuel Francisco de la Portella Herrera, inquisidor mas an tiguo del Sto. tribunal de la expresada…</t>
  </si>
  <si>
    <t>Agüero, Pedio Bernardina González</t>
  </si>
  <si>
    <t>Pedio Bernardina González Agüero</t>
  </si>
  <si>
    <t>2¿6 . . ...... 19. Testimonio de la egecutoría que se mandó despachar por la Real chancillería de Valladolid á 15 de-Diciembre de 1778 á D. Pedio Bernardina González Agüero, como procurador síndico general de la junta de Cudelloj en el pleito seguido en ella con Josef de la Cantolla y Francisco del Monte, como procuradores generales de los lugares de Liergales y Riotuerto, sobre la venta de vinos forasteros cuando acordasen sus…</t>
  </si>
  <si>
    <t>Aguilaniedo, Josef</t>
  </si>
  <si>
    <t>Josef Aguilaniedo</t>
  </si>
  <si>
    <t>Gaceta de Madrid n.º 13</t>
  </si>
  <si>
    <t>…sincero reconocimiento. . - - ' ■ - ESPAÑA.. "■¡L;;': -■ ■ .) Almunia dé S. Juan, en Aragón, de Enero. r'1 El 27 de Noviembre se realizó en este pueblo el proyectó formado por sur alcalde Josef Aguilaniedo de conducir á la villa una abundante vena de aoua/ formando con ella una fuente que producirá incalculables beneficios , habién dose celebrado con regocijos públicos y repique'general de campanas la! liega-, da al pueblo de tan ansiado manantial. . i. , ! ,V'…</t>
  </si>
  <si>
    <t>Aguilar, Alonso de</t>
  </si>
  <si>
    <t>Alonso de Aguilar</t>
  </si>
  <si>
    <t>Gaceta de Madrid n.º 19</t>
  </si>
  <si>
    <t>…inventario de los instrumentos y títulos que se hallan en el archivo de procuradores. 10. Otra escritura de censo del convento de Sta. Cruz la Real de la ciu dad de Segovia contra D. Alonso de Aguilar, vecino y regidor perpetuo de la misma, impuesto sobre sus mayorazgos de principal de 25,^43 rs. y 22 mrs., réditos 1277 anuales, a la cual hay unido un juro situado en las alcabalas de dicha ciudad. r r. Privilegio á favor de Doña Elvira Ponce de León, marqu…</t>
  </si>
  <si>
    <t>Aguilar, Gaspar Josef de</t>
  </si>
  <si>
    <t>Gaspar Josef de Aguilar</t>
  </si>
  <si>
    <t>…licia; D. Ra món María Moya, ministro honorario del Consejo Real de Navarra. Alcalde del Crimen de Granada. A D. Josef Francisco Morejon de León. fiscal del Crimen, de la misma. A D. Gaspar Josef de Aguilar, abogado de dicho tribunal. Fiscal del Consejo Real de Navarra. A D. Josef Perez Rozas, corregidor de Logroño. Oidor de la Real audiencia de Sevilla. A D. Alvaro Pareja, oficial de la,, secretaría de Estado y del Despacho de Gracia y Justicia de Indias. Alcal…</t>
  </si>
  <si>
    <t>Aguilar, Sacerdote</t>
  </si>
  <si>
    <t>Sacerdote Aguilar</t>
  </si>
  <si>
    <t>Gaceta de Madrid n.º 89</t>
  </si>
  <si>
    <t>739</t>
  </si>
  <si>
    <t>…errador, D. Redro •Pascual Anguita, D. Antonio Martinezj í). Antohio dé Toares, D. Antonio Castillo , D. Martin deTJbéda, D. Rafael de Almagró, D¿ Ramón de Óríiz, D. Josef Cañada, D. Sacerdote Aguilar, D. Agustín de Ortega, D. Pedro Panas y Di Josef Guerrero por'la instrucción y adelantamientos de cada uno de ¿estos alumnos en la parte que profesan ,'y énseñañká que reciben- de sus maestros el presbítero D: Joser Garcíá Llará ,''íhdlvidtíó de este Real cue…</t>
  </si>
  <si>
    <t>Aguiriano, Ramón</t>
  </si>
  <si>
    <t>Ramón Aguiriano</t>
  </si>
  <si>
    <t>Gaceta de Madrid n.º 118</t>
  </si>
  <si>
    <t>…Carmelitas calzados. Con este acompañamiento, y la cruz de la Real capilla, seguida de los capellanes de honor D. Gines de Moya, que hacia las funciones de cura del Real palacio, D. Ramón Aguiriano, que hacia las de maestro de ceremonias, D. Blas-Prats, D. Domingo María Tordera, D. Antonio Bermejo, D. Tibureio Saez, D. Leandro Alvarez, D. Luis Ramírez Mon sal ve, D. Agustín de la Rica * D. Julián Arrea, D. Antonio Ramírez de Arellano y D. Pedro Gil; des…</t>
  </si>
  <si>
    <t>Aguirre, Josef</t>
  </si>
  <si>
    <t>Josef Aguirre</t>
  </si>
  <si>
    <t>Gaceta de Madrid n.º 98</t>
  </si>
  <si>
    <t>…antes á D. Francisco Molina, al guardia de la Real Pérsona Di Jo sef V idaurre, D. Rafael Rico, D. Celestino Arel lañó, D. Josef Jiménez, Don Juan Pedro Isr.si, D. Miguel Infante, D. Josef Aguirre, D&gt; Alonso Reina; D Josef Garci, D. Ramón Porta, D. Francisco Marín, D. Manuel Capace te , D. Josef Morales , D. Matías Michana, D. Gregorio de Casadevals, Don Miguel Fassia, D. Manuel Gómez, D. Miguel Reina y D. Manuel Rojas. - Valladolidá'S de Julio. • ! ,…</t>
  </si>
  <si>
    <t>Aguirre, Josef María de</t>
  </si>
  <si>
    <t>Josef María de Aguirre</t>
  </si>
  <si>
    <t>Gaceta de Madrid n.º 113</t>
  </si>
  <si>
    <t>…á Don Antero Tutor. Matemáticas puras, primero á D. Bartolomé de Olaechea. Idem segundo á D. Isidro de Certucha. Idem tercero á D. Juan Bernardo de Uriarte. Segundo año: primero á D. Josef María de Aguirre; segundo á D. Carlos de Espinóla, y segundo idem á D. Juan Poéy. Geografía, primero i D. Juan Poéy. Estos premios consistian en 22 medallas de plata, que Ies fueron puestas por los señores alcalde y demas capitulares del ilustre ayuntamiento, y por varios ecl…</t>
  </si>
  <si>
    <t>Aguirre, Leandro Báldesano y</t>
  </si>
  <si>
    <t>Leandro Báldesano y Aguirre</t>
  </si>
  <si>
    <t>Gaceta de Madrid n.º 66</t>
  </si>
  <si>
    <t>…cha de 15 del pa sado á alféreces de fragata de su Real armada á los guardias marinas D. Josef Qbregon y Villarroel, D. Quintín Sojo y Villasanta, D. Francisco Alvarez y Castillo, D. Leandro Báldesano y Aguirre, D. Beltran Riquelme y Novela, D. Carlos Butrón y Pareja y D. Francisco Miranda y Hoyos. Por providencia del Sr. 1&gt;. Manuel' Jósef Rubio, del Consejo de S. M., y te díente- corregidor de esta muy heroica villa', refrendada.dé sú escribano del húmero D. Jacint…</t>
  </si>
  <si>
    <t>Aguirre, María Francisca de</t>
  </si>
  <si>
    <t>María Francisca de Aguirre</t>
  </si>
  <si>
    <t>Gaceta de Madrid n.º 97</t>
  </si>
  <si>
    <t>…de él comparezca por sí ó por medio de procurador, con poder bastante, ante dicho señor y citada escribanía á responder al traslado que le está comunicado de la demanda puesta por Doña María Francisca de Aguirre, viuda de D. Juan Cas taños, vecina de la ciudad de Santander, por sí y como madre , tutora y curadora de sus hijos menores en razón á la reclamación de 15 vales Reales, los 13 de 300 pesós, creación de Mayo de 1808, y dos de 150 de la de Enero del propio año…</t>
  </si>
  <si>
    <t>Aguirre, Matías Martin y</t>
  </si>
  <si>
    <t>Matías Martin y Aguirre</t>
  </si>
  <si>
    <t>Gaceta de Madrid n.º 2</t>
  </si>
  <si>
    <t>…e 18x8.as Francisco. Xavier Suarez. = Sr. teniente coronel D. Josef María Soria.” Idem jp de Juliq. Parte del teniente coronel D. Vicente Lar a al' coronel y comandante ge-* nérai D. Matías Martin y Aguirre, - ,, Separado de V* $. la mañana del 27 del prójimo pasado Mayo de la inmediación de esta ciudad, marché., con la. sección dé mi cargo á Gapula, y hasta el 31 permanecí en Zacapo y eL tránsito. • r, i: m„E1 iIo marché'h-ácia Purépero,: y en;la inmediación de…</t>
  </si>
  <si>
    <t>…ón, lo que espero sea de la aprobación de V. S. ,, Dios guarde á V\ S. muchos años. Hacienda de Tipitarillo Abril f de *818. = Miguel Francisco Barragan. =Sr. coronel y comandante general Don Matías Martin y Aguirre.” 'Justado que manifiesta lo cogido d los rebeldes en la acción que refiere el fiarte anterior. Fusiles 28, inclusos 13 con bayoneta, pistolas tres, sables 16, lanzas 50, fornituras 13 , una caja de guerra, seis cajones con 5500 cartuchos de fusil em balados,…</t>
  </si>
  <si>
    <t>Aguirre, Santiago Baltasar de</t>
  </si>
  <si>
    <t>Santiago Baltasar de Aguirre</t>
  </si>
  <si>
    <t>Gaceta de Madrid n.º 64</t>
  </si>
  <si>
    <t>…ha servido Conceder una plaza de oidor de la Real au diencia de Zaragoza, vacante por promoción de D. Pedro de Si Ives á ía ase soría de la superintendencia de la Real Hacienday á D. Santiago Baltasar de Aguirre, alcalde del crimen rdeja misma;.y para esta resulta-á D. Vicenté LagóRobíes ;'y para la plaza de fisqaí ^déf críinen cíe dicha Real audiencia á I). Pedro Pp/ro Qidoncho. ; V!( ' Igualmente se ha servido nombrar para la plaza dé alguacil mayor dé la Real audi…</t>
  </si>
  <si>
    <t>Aguirre.’, Matías Martin y</t>
  </si>
  <si>
    <t>Matías Martin y Aguirre.’</t>
  </si>
  <si>
    <t>…de. mi cuerpo D. Manuel Arana,, todos .los que se han distinguido. _ . ,, Dios guarde á V- S. muchos años. Val lado lid Junio 22 de 1818.== Vi cente Lara^ Sr. coronel y comandante general D. Matías Martin y Aguirre.’51 , fiíadrid 4 de Enero.. Por el reglamento de los correos marítimos está dispuesto que el día id* •de cada mes salga de Cádiz un buque- de la Real armada con la correspon dencia de oficio y pública para-todos los puntos de las Amérícas; y estando •ya habilit…</t>
  </si>
  <si>
    <t>Aguirrey, Vicente Ambrosio</t>
  </si>
  <si>
    <t>Vicente Ambrosio Aguirrey</t>
  </si>
  <si>
    <t>…de Navalcarnero', vale cada fanega.£90,rs. , y toda ella g6o: un majuelo dé 30 aranzadas, término de Sacedon , eñ el sitio de los Perales, linda á oriente con viña de herederos de D. Vicente Ambrosio Aguirrey con el rio Guadarrama, á mediodía viña de dichos herederos de Francisco García el Platero, á norte con «i arroyodrlos Perales que baja de la casa de Bermejo, rale cada fane ga á ií) rs., y todo él 3o3f.:Guy.as tierras, Viñas y olivares. componen 120 fanegas.</t>
  </si>
  <si>
    <t>Agus</t>
  </si>
  <si>
    <t>Gaceta de Madrid n.º 21</t>
  </si>
  <si>
    <t>…de se debía de embarcar para .Cariaco, que por todas las noticias sabia era el señalado para el ataque. Todo se hizo en tres horas; y dando el mando de esta expedición al teniente coronel D. Agus tín Nogueras, gefe del Estado mayor, con mis instrucciones para que se diri giese á Chiguana, y de allí marcha e á.unirse al comandante de Cariaco , y „ se pusiese en comunicación con el comandante D. Manuel Lorenzo, que aca-r* baba de recibir el aviso de hal…</t>
  </si>
  <si>
    <t>Gaceta de Madrid n.º 23</t>
  </si>
  <si>
    <t>…ante general D. Matías Martin v Aguirre. ,,Excmo. Sr.: En esta provincia de mi cargo han ocurrido en la presente semana las novedades siguientes: Et«capitán'dé mi accidental cargo D. Agus tín Francisqp de JSlorza aprehendió tres rebeldes montados y armados en las inmediaciones de esta ciudad, dónde fueron pásádÓsjJor lás afijas para escarmiento-dé' lofc malvados.- •. - -.uv^ s.. vX-v.-.,-- ,*a v v* ••.Vs.y.yvi V-&gt;v. „ Eit Rulado coronel de reb…</t>
  </si>
  <si>
    <t>Gaceta de Madrid n.º 91</t>
  </si>
  <si>
    <t>…de Fernando vn. Se celebró una solem ne misa, en que ofició de pontifical el Emo. Sr. cardenal arzobispo de Tole do, con asistencia de la música de la Real capillay el presbítero D. Agus tín Aguado, cura de Húmera, pronunció un sermón panegírico muy opor tuno, patentizando las virtudes cristianas y militares del Santo héroe á quien se consagraba la función. ' „ Concluida esta, dispensó S. M. la honra á todos los grandes cruces y uno por clase…</t>
  </si>
  <si>
    <t>Agus, Juan</t>
  </si>
  <si>
    <t>Juan Agus</t>
  </si>
  <si>
    <t>Gaceta de Madrid n.º 57</t>
  </si>
  <si>
    <t>…residente en el Fenol, y á D. Benito Ontiveros , residente en la villa de Velez-BIanco, reino de Murcia: el fuero mi litar y uso de uniforme de practicante de la misma facultad á D. Juan Agus tín González, residente en la villa de Poza, provincia de Burgos; á D. Josef Borsell en la ciudad de Barcelona; á D. Luis Paz en Sta. Cristina de Baleige, obispado de Tuy, y á D. Josef Vázquez en la ciudad de Sevilla: de clarando al mismo tiempo le ha sido mu…</t>
  </si>
  <si>
    <t>Agusti, Juan</t>
  </si>
  <si>
    <t>Juan Agusti</t>
  </si>
  <si>
    <t>Gaceta de Madrid n.º 36</t>
  </si>
  <si>
    <t>…en que declaró válida y subsistente; Ja escritura otorgada en 24 de Marzo de 18ía por Di. Pedro Ignacio de Elguea, .en. cuantp sustituyó su encargo de testamentario y alb$cga; del D. Juan Agusti#, de Baqpij$Qp,. conde que fue de Vistaflofidá, coirferid^ enda;cláií$ulft 61, def testamento que otor gó.en 15 dé Abrilidje ;i;796;en D. MatíasvPeciñaj vecino de esta? corte; íy.á su consecuencia que debía dúiarle semejante cargo hasta que se verificase el c…</t>
  </si>
  <si>
    <t>Agustín</t>
  </si>
  <si>
    <t>Actuación administrativa o judicial</t>
  </si>
  <si>
    <t>Gaceta de Madrid n.º 47</t>
  </si>
  <si>
    <t>…segundo, tiene poder para egecútar la venta de dos casas consistentes en la calle de S. Antón, rnanz. 310, señaladas con los núms. 6 y 7» por cuya causa*desea saber el paradero de D. Agustín y D. Francisco Campo . vecinos que fueron de esta corte, sus herederos ó representantes , por pertenecerles el derecho de licencia y veintena en dicha vepta. ' En 4 librería,dé Pjsrez, calle de las Carretas, se halla de venta el tomo.,6.° de la continuación del almacénde frutos l…</t>
  </si>
  <si>
    <t>Gaceta de Madrid n.º 95</t>
  </si>
  <si>
    <t>…, de la provincia de Burgos, se halla vacante la plaza de maestrar para enseñar á coser, bordar y hacer medias, calceta y demas la bores de esta especie, en el colegió fundado por D. Agustín dé: Villota, vecino que fue de la ciudad de Cádiz: su dotación son 9 rs. diarios, casa pagada y el trabajo dé todas las niñas cuando no lleven la labor de la casa de sus padres. La que quisiere ha cer pretensión deberá hacerlo en todo*el presente mes, pormedi…</t>
  </si>
  <si>
    <t>…n Aguiriano, que hacia las de maestro de ceremonias, D. Blas-Prats, D. Domingo María Tordera, D. Antonio Bermejo, D. Tibureio Saez, D. Leandro Alvarez, D. Luis Ramírez Mon sal ve, D. Agustín de la Rica * D. Julián Arrea, D. Antonio Ramírez de Arellano y D. Pedro Gil; después de haber cantado nuevamente solemnes responsos la Real capilla, presidida por el limo Prelado, á la una y media principió la marcha de la Real comitiva, que abrían los timbal…</t>
  </si>
  <si>
    <t>…el del Barquillo , por la demanda de la presente semana, 3017 rs. y 16 mrs. Núm. 300."D. N. 100. Núm. 301. Doña J. L. 40. Núm. 302. El Excmo. Sr. conde de Altatfiira 1©. Núm. 303. D. Agustín de la Hoz 6ó. Núm. 304. Un señor ministro del Real y supremo Consejo de las Indias 2©. Núm. 305. D; Blas Cuadrado 120. Nú mero 306. D. Eugenio Luzon 20. Núm. 307. Los señores cuestores del cuar tel deS. Francisco 1572 rs. y iórnrs. Núm. 308. Doña María Franci…</t>
  </si>
  <si>
    <t>Agustín, Juan</t>
  </si>
  <si>
    <t>Juan Agustín</t>
  </si>
  <si>
    <t>…r. ü. Juan Agustín de Baquijano,cóndef 44 mismo título, que fa lleció á 2 de Diciembre de 1807, sobre que D* Matías de Pecina cesase en U* funciones de heredero fideicomisario del D. Juan Agustín, á virtud de la-sus titución que le hizo el -coronel P. Pedrolgnacío de Eígiiea, uno denlos que aquel nombró por tales en su testamento; y que a su virtud se entregasen á los citados herederos los bidnfeá quedados :poF fallecimieiitq 4¿:1 P. Juán Agus^!e Abrí…</t>
  </si>
  <si>
    <t>Ai, Marcos</t>
  </si>
  <si>
    <t>Marcos Ai</t>
  </si>
  <si>
    <t>Gaceta de Madrid n.º 102</t>
  </si>
  <si>
    <t>…mplir con la orden de V. S. salí de esté , punto de mi cargo él 5 del presented las.10 de la mañana con la fuerza de 83 hombres, después de habérseme incorporado con su sección el teniente D. Marcos Ai oreno, y dirigiéndome hacia el cerro nombrado Azul pasé en sus inmediaciones la no che con mi sección. El 3 á las cinco de la mañana seguí mi marcha, habien do anochecido á distancia de una legua de los jacales que servían de cuartel al cabecilla Antonio el C…</t>
  </si>
  <si>
    <t>Aíarañon, Servando</t>
  </si>
  <si>
    <t>Servando Aíarañon</t>
  </si>
  <si>
    <t>Gaceta de Madrid n.º 93</t>
  </si>
  <si>
    <t>771</t>
  </si>
  <si>
    <t>…establecimiento académico D. Josef García Arteche , y per el orden de las respectivas censurasj á saber: en la clase de gramática latina li bros facultativos á D. Manuel Martinez, D. Servando Aíarañon, D. Cristó bal Rubio, D. Celso PJanzon ,SD. Fernando Perez de Rozas y Campuzano y D. Domingo Díaz: en la de matemáticas puras medallas acuñadas á pro pósito á D. Santiago Cocolina, y al cadete de artillería D. Pedro OJano: en da de dibujo una .medalla de oro…</t>
  </si>
  <si>
    <t>AIbóniga, Santiago Manuel de</t>
  </si>
  <si>
    <t>Santiago Manuel de AIbóniga</t>
  </si>
  <si>
    <t>…el Sr; D. Ramón Satué, del Consejo de*S. M., su alcalde de Casa y Corte, por ia escribanía de provin cia vacante que sirvió últimamente D. Julián Alonso y Estrada, y hoy despacha Don Santiago Manuel de AIbóniga, á instancia dé D. Manuel de Pando, síndico eh el con curso de los bienes de D.,Juan de Aguirre, se ha señalado para junta de los acree dores de ¿1 el jueves 26 del corriente, á las 1 x de su mañana’, en la sala segunda de señores alcaldes de la Real Casa y C…</t>
  </si>
  <si>
    <t>Aíedidsky</t>
  </si>
  <si>
    <t>Gaceta de Madrid n.º 16</t>
  </si>
  <si>
    <t>PDF p. 1</t>
  </si>
  <si>
    <t>…andro al teniente general Pozzo di Borgo, su ministro plenipotenciario en la corte de Francia, y al teniente ge neral Paskewitich, y la orden de Sta. Ana de primera clase al mayor general Aíedidsky. • - — -t POLONIA. Varsovia 31 de Diciembre. Según las últimas noticias estadísticas del reino de Polonia, comprende este en su estado actual 2191 millas cuadradas, 481 ciudades, 22694 aldeas, y una población de 2.732,324 habitantes, de los cuales son cristia…</t>
  </si>
  <si>
    <t>Air</t>
  </si>
  <si>
    <t>Gaceta de Madrid n.º 146</t>
  </si>
  <si>
    <t>…. 146. £ 5 cuartos. J 12(3 GACETA DE MADRID ; .. . r I * DEL SABADO 27 DE NOVIEMBRE DE 1819. . SUECIA. , , S/ockolmo 1$ de Octubre. EL secretario del consulado de Suecia en Túnez, barón Air. Carlos de Wetterstedt, que se ha hecho famoso por la impavidez con que ha arrostrado Ha peste confiado en sus preservativos, escribe de Marsella á un amigo suyo, con fecha de 20.üeiAgosto, dándole}una’noticia.muy circunstanciada, y que me-3 rece particulad-a…</t>
  </si>
  <si>
    <t>Aisina, Pedro Mártir Coll y</t>
  </si>
  <si>
    <t>Pedro Mártir Coll y Aisina</t>
  </si>
  <si>
    <t>Noticia política o diplomática</t>
  </si>
  <si>
    <t>Gaceta de Madrid n.º 137</t>
  </si>
  <si>
    <t>…facturas, libros de cuentas, balances, contratas de compañía, cartas &lt;Scc. quq pa*a gobierno de un hijo suyo joven comerciante compu so y ha corregido y aumentado en esta edición D. Pedro Mártir Coll y Aisina.—Exposición histórica de las causas que mas han influido en la decadencia de la mari na española, é indicación de algunos medios para restaurarla, escrita por D. Ceferino Ferret, dedicada al Rey nuestro Señor. Se hallarán en la librería de Martínez, frente á…</t>
  </si>
  <si>
    <t>AIvcrgóhz, Josef</t>
  </si>
  <si>
    <t>Josef AIvcrgóhz</t>
  </si>
  <si>
    <t>Gaceta de Madrid n.º 73</t>
  </si>
  <si>
    <t>…an para su ma nutención ; verificado lo cual, nos retiramos al campamento sin la menor novedada &lt;; &lt; ;i;;: . . ‘ ,7' , 7' . ‘ ~ i, En la madrugada del 18 determiné que el teniente coronel D. Josef AIvcrgóhz&amp;léz pasase con i 00 infantes de su sección á recorrer la barranca de Tepanapa , eri donde se habían presentado lós rebeldes la tarde del diá ante rior, mandando para proteger ésta, operación al capitán de realistas D. Josef Rtiiz Sánchez con 40 nombres dé Tia…</t>
  </si>
  <si>
    <t>Aiveñiz, Manuel Gil y</t>
  </si>
  <si>
    <t>Manuel Gil y Aiveñiz</t>
  </si>
  <si>
    <t>Gaceta de Madrid n.º 12</t>
  </si>
  <si>
    <t>…ex eo máxime servari videren•« tur, ñeque ullum cui modo sanguis bene profluxisset', hoc in statu mortuum «videre licuit. Hipp. de morb. vulg. lib. i , sta. 3.” Su autor es el Dr. Don Manuel Gil y Aiveñiz, médico de Cascante en el reino de Navarra , socio corresponsal de este cuerpo , que describe la epidemia que observó en dicha ciudad en los años 1803 y 1804. Igualmente la academia repitió y ofreció por objeto de otro premio de una medalla de oro de valor de…</t>
  </si>
  <si>
    <t>AJdobrandini</t>
  </si>
  <si>
    <t>Gaceta de Madrid n.º 60</t>
  </si>
  <si>
    <t>PDF p. 2</t>
  </si>
  <si>
    <t>…Frasean, el antiguo Ttísculo, y despees de haber admirado ios herniosos fres cos del Dominiquino, conocidos por el nombre de Alrota Ferrata , pasaron á la quinta de Belvedere del príncipe AJdobrandini, donde comieron. SS. MM. han manifestado que no admitirán ninguna de las muchas fun ciones que la alta nobleza romana les preparaba,y sin duda han querido evi tar todo-motivo de envidia, y el encuentro de varios persoñages. El conde de Biacas, Par de Francia…</t>
  </si>
  <si>
    <t>Ajmazan, Joaquín de</t>
  </si>
  <si>
    <t>Joaquín de Ajmazan</t>
  </si>
  <si>
    <t>Gaceta de Madrid n.º 84</t>
  </si>
  <si>
    <t>…érmino de 30 dias, contados,desde, la¡ pu blicación de este anunció, con la prevención que no se admitirá alguna que no sea por el todo de su tasa., m En virtud de providencia del Sr. D. Joaquín de Ajmazan , del Consejo de S. M., alcalde de la Real Casa y Corte, se venden dios casas sitas en esta corte, la una en la calle de la Puebla ó Flor de Peralta, iiúm. 9 de la manz. 466, tasada en 49,563 Ia otra cn lA csiJle del Qlmo, núm. 4.de la manz» 25., tasada en 43…</t>
  </si>
  <si>
    <t>Al, C.</t>
  </si>
  <si>
    <t>C. Al</t>
  </si>
  <si>
    <t>…mosnas recibidas de sus feligreses 155. Núm. 362. Un eclesiástico 60. Núm; 363. Doña María Dolores 20. Nú mero 364. D. N. 20. Núm. 365. D. Pedro Zavala y Espondá 360. Núme ro 366. D. C. Al. F. 320. Núm. 367. D». J. C. 40. Núm. 368. E. C. D. R. S. 320. Núm. 369 D. Y. S. 20 Núm. 370. D. A. R. de P. 40. Núm. 371, D. R. R., del comercio, 100. Núm. 372. D. C- V. D. 200. Núm. 373. Don J. D. V. 40. Núm. 374. D. M. G. 104. Núm. 375. El Excmo Sr. emba j…</t>
  </si>
  <si>
    <t>Al, Joaquín</t>
  </si>
  <si>
    <t>Joaquín Al</t>
  </si>
  <si>
    <t>Gaceta de Madrid n.º 115</t>
  </si>
  <si>
    <t>…n Jos respectivos Reáíes colegios en todo el corriente «íes dé • - N - * •’ ' . , ^4 . ■ ■ 1 * : - i • V 4» i í «-í t¡ ¿ 61 r ' oetiempre*,•’ 1* * • • En virtud de providencia del Sr. D. Joaquín Al mazan y Jjménpy del ¡Consejó de S. M., su alcalde de Casa y Corte, que en ausencia de su compañero’el Sr. Don Martin.de,Gaztanaga,despacha su. audiencia, rerrendada^del escribam^ JJ&amp;xh&amp;V* y comisiones de la misma D. Manuel López de Rivas, y á voluntad de sus…</t>
  </si>
  <si>
    <t>Álaiza, Benigno</t>
  </si>
  <si>
    <t>Benigno Álaiza</t>
  </si>
  <si>
    <t>…rré»* cilla y D. Juan :Béaito ;]á DI Josef Prados eni él de manos, y D. Jiiikm Ma teo en el de: pies.’ Fueron -gratificados en la: clase de adorno Dv Josef Ruiz; en. la de figuras D. Benigno Álaiza , D. Josef Saenz de Sta. María y D. Ci-r riaco Verdejo; en la.de cabezas D. Josef Ijon; en la de manos D. Baltasar Te jada y y ¿ni; la de -.pies'JD. Pedro Olano. Los jóvenes de este .país -acreditan con su egemplar asistencia y esbiero que no. les ..son indif…</t>
  </si>
  <si>
    <t>Alaminos, Francisco de</t>
  </si>
  <si>
    <t>Francisco de Alaminos</t>
  </si>
  <si>
    <t>…ieron, resolviendo los problemas mas difíciles con tanta prontitud y destre za, como si se hubiesen1 egercitado largo tiempo en estas operaciones. El día 11 pronunció el bachiller D. Francisco de Alaminos su disertación sobreare míos de artes y oficios, en la que demostró hasta la evidencia la pro posición 49, aunque con las modificaciones de la 5,0, á saber: „ Es inevitable el que un cuerpo ó gremio de artes y oficios no tire á reducir el número de competidor…</t>
  </si>
  <si>
    <t>AlarCon, Juan de</t>
  </si>
  <si>
    <t>Juan de AlarCon</t>
  </si>
  <si>
    <t>Gaceta de Madrid n.º 22</t>
  </si>
  <si>
    <t>…ía Montérosa , ó de sus. hijos, que en la villa de Bornos / arzobispado de Sevilla, tienen parte de una herencia. •' • D. Andrés Sánchez Izquierdo, capellán mayor de las monjas de D. Juan de AlarCon dé esta corte , dará razón donde se halla umtéstiniónio de nobleza compuesto de 39 fojas, probado y legalizado en toda forma, correspondiente á D. Luis Barona Laurino, ayudante, mayor qué fue del regimiento provincial-de Lorca, y sargento mayor del de Bujalan…</t>
  </si>
  <si>
    <t>Alayon, Petronila</t>
  </si>
  <si>
    <t>Petronila Alayon</t>
  </si>
  <si>
    <t>1122</t>
  </si>
  <si>
    <t>…diario. A Doña Leonor-de Alcalá, viuda de Dofi. Juán de Otón, sacrificado por los insurgentes el 3 de Agosto de 1813 en-h provincia de Cumaná, la pensión de tres reales diarios. A Doña Petronila Alayon, viuda de D. Francisco Avila, muerto á manos de -ios insurgentes cuando fue destinado por este Gobierno á conducir pliegos iulportantes del Real servicio al egérciro, la misma pensión que á la-anterior.! -c ' i’ Entre los pueblos de la Andalucía baja invadido…</t>
  </si>
  <si>
    <t>Alberola, Juan Bautista</t>
  </si>
  <si>
    <t>Juan Bautista Alberola</t>
  </si>
  <si>
    <t>…la audiencia de Cataluña. A D. Juan Delicado, asesor del gobierno militar de Málaga. De la de Galicia. - , A D. Basilio García Manrique, corregidor de Astorga. De la de Sevilla: A D. Juan Bautista Alberola, corregidor de Andujar. De la de Asturias. , ^ A D. Andrés Josef Amat y Robles, corregidor de Alearaz. í De' la de Aragón. A D. Fernando María López Sagredo, corregidor de Trujillo. v De la de Valencia. A D. Vicente Pedro Rebollo, corregidor de Orense. De la…</t>
  </si>
  <si>
    <t>Alberoni</t>
  </si>
  <si>
    <t>Gaceta de Madrid n.º 10</t>
  </si>
  <si>
    <t>…lchor de Jovellanos en los exámenes del Real instituto asturiano en 1797: discurso sobre los mayorazgos: respuesta del marques Granely á'una carta que recibió de Roma, relativa al cardenal Alberoni : informe del* apuntamiento de Toledo sobre da necesidad de. poner escuelas de primeras le tras: exposición al Rey de Pedro de Valencia sobré la necesidad de-,extender el cultivo'vVotó de unfiroc.ai de lai junta nombrada en 1794 pata examinar un proyec to del…</t>
  </si>
  <si>
    <t>Alberto</t>
  </si>
  <si>
    <t>Gaceta de Madrid n.º 8</t>
  </si>
  <si>
    <t>…ontoneros, y dos de artilleros; cuatro escuadrones de coraceros; cuatro escuadrones de coraceros del Emperador, seis del Principe Imperial, seis del Archiduque Francisco, seis del duque Alberto, seis de huíanos del Archiduque .Cirios, seis del príncipe de Schwartzemberg, y cuatro de caballería ligera de Klenau fcajo las órdenes del marques de Sommariva, general de caballería. Los dos Em peradores se dirigieron al punto de la revista, acompañados de…</t>
  </si>
  <si>
    <t>Gaceta de Madrid n.º 43</t>
  </si>
  <si>
    <t>PDF p. 4</t>
  </si>
  <si>
    <t>…ular que de'bia presidir este acto, al cual Concurrieron también los individuos mas*respe tables del comercio dé aquella villa, y los profesores nombrados en concurso de oposición D. Alberto:Lista para la clase de matemáticas, D. Antonio del Olmo para la de lengua francesa, D. Francisco Ferraud para la de lengua inglesa, y D. Anselmo Alfonso para la de dibujo Habiendo tomado asientos, el señor prior del consulado D. Manuel María ^de Aldecoa anunc…</t>
  </si>
  <si>
    <t>Alberto, Apólinario</t>
  </si>
  <si>
    <t>Apólinario Alberto</t>
  </si>
  <si>
    <t>…Josef Elias Megias. • Idem del de S. Miguel. D. Hermenegildo Daza, vecinos del Sombrero y Barbacoas, y han obtenida la nobleza personal* ~ ....... . . ...... Escuadrones^ del Rey. D. Apólinario Alberto. La nobleza!personal. • Captan de milicias. D. Josef Alvarez , natural de Sv Carlos. Xa nobleza personal. '= ■■■ — * Campo -volante del Pao. D. Estéban Prado. Aprobado en su empleo de teniente, y Don personal. . Segundo ayudante de cirugía del egército. D. To…</t>
  </si>
  <si>
    <t>Albóniga, Santiago Manuel de</t>
  </si>
  <si>
    <t>Santiago Manuel de Albóniga</t>
  </si>
  <si>
    <t>Gaceta de Madrid n.º 122</t>
  </si>
  <si>
    <t>…ódico, que por tres y e'l ultimo perentorio se les concede, com parezcan por sí ó por medio de procurador con poder bastante ante dicho señor, y por la escribanía de provincia "de D. Santiago Manuel de Albóniga, á deducir el qué Ies competa; con apercibimiento cjue pasado sin hacerlo se declarará lo que conven^ ga, y les parará, el perjuicio que haya lugar. ; ~ Se vende una casa ; sita en ésta1 corte y su calle de Cabestreros . señalada con el numero 8 de la manzana…</t>
  </si>
  <si>
    <t>Albor, Francisco Chacón Carrillo de</t>
  </si>
  <si>
    <t>Francisco Chacón Carrillo de Albor</t>
  </si>
  <si>
    <t>Gaceta de Madrid n.º 25</t>
  </si>
  <si>
    <t>220</t>
  </si>
  <si>
    <t>…ias en el convento de Regina Angelorumy del orden de Predicado res, siendo el celebrante del sacrificio, el diácono y subdiácono los caballeros capellanes-de dicha Real maestranza D. Francisco Chacón Carrillo de Albor noz, sumiller de cortina y oratorio de S. M., D. Manuel del Campo de la Vega i cánónigos de la-metropolitana y patriarcal iglesia, y D. Angel María de Guzman, racionero de la misma. Fue el orador el R. P. Mtro. y Dr. Fr. Josef Govea y Agreda, del orden de S.…</t>
  </si>
  <si>
    <t>Albuernc, Manuel</t>
  </si>
  <si>
    <t>Manuel Albuernc</t>
  </si>
  <si>
    <t>Gaceta de Madrid n.º 147</t>
  </si>
  <si>
    <t>1228</t>
  </si>
  <si>
    <t>…pañía. Retrato á caballo del general en gefe D. Pablo MoriHó, conde de Cartagena y marques de la Puerta, dibujado por D. Antonio G-uerrero,y grabado en,medio plie go marquida por D. Manuel Albuernc, á 4 rs. en negro y a 8 iluminado. Se hallara en el almacén de estampas de la calle Mayor, frcntcLá la casa del Excmo. Sr. conde de Oñate. EN LA IMPRENTA REAL.</t>
  </si>
  <si>
    <t>Alcaide, Agustín</t>
  </si>
  <si>
    <t>Agustín Alcaide</t>
  </si>
  <si>
    <t>Gaceta de Madrid n.º 75</t>
  </si>
  <si>
    <t>…e jada, D. Ange{ Valero Sardi, D. Pedro Gudál, D. Pedro Antonio Pallete, D. Juan María, BiecyD. Pedro Nogues Secall, y D. Anacleto Toron y Dolz. El catedrático del establecimiento D. Agustín Alcaide dio principio al acto, manifestando la necesidad del estudió de la economía, de que tan penetrada se hallaba la Real sociedad aragonesa , pudiendo gloriarse de haber sido la pri mera que promovió su enseñanza en 1784. v En seguida disertaron los cuatro primer…</t>
  </si>
  <si>
    <t>Alcalá, Leonor-de</t>
  </si>
  <si>
    <t>Leonor-de Alcalá</t>
  </si>
  <si>
    <t>…ada del Real cuerpo de Artillería de la capital, sacrificado: por ios insurgentes después de preso en las bóvedas de la Guaira el año de 13 '; la pensión de real y medio diario. A Doña Leonor-de Alcalá, viuda de Dofi. Juán de Otón, sacrificado por los insurgentes el 3 de Agosto de 1813 en-h provincia de Cumaná, la pensión de tres reales diarios. A Doña Petronila Alayon, viuda de D. Francisco Avila, muerto á manos de -ios insurgentes cuando fue destinado por…</t>
  </si>
  <si>
    <t>Alcalde, Custodio</t>
  </si>
  <si>
    <t>Custodio Alcalde</t>
  </si>
  <si>
    <t>…úm. 28. Doña Vic toria Biant, por idem, con 80 idem. Núm. 29. D. N., por idem, con 90 ídem. Núm. 30. León Ponce , por idem, con 20 ídem. Nota, El vale Real de 150 pesos que .cedió D. Custodio Alcalde (nume ro 24 de donativos) se redujo á metálico, y produjo 354 rs. y 22 mrs. Por el correo de 2 de Noviembre, con anuencia de S. M.&gt;, han remitido los encargados de la suscripción un libramiento de 25© rs. vn. á favor del limo. Sr. obispo de Cádiz, para que S.…</t>
  </si>
  <si>
    <t>Alcaldeun, Custodio</t>
  </si>
  <si>
    <t>Custodio Alcaldeun</t>
  </si>
  <si>
    <t>…Cabrero* y su esposa Doña Josefa Martínez 1300. Núm. ig. D. N. 60. Núm. 19. D. N. 40. Núm. 20. D. J. M. 160. Núm. 21. D. A. G. 2©. Núm. 22. D. N. 300. Núm. 23. D, N. 4. Núm'. 24. D. Custodio Alcaldeun vale Real de 150 pesos. Núm. 25. D. N. 100. Núm. 26. Doña N. 20. Núme ro 27. D. D. B . 100. Núm. 28. D. Francisco Lledias 200. Núm. 29. D. Do mingo Ortiz de Urbina 200. Núm. 30. D. R. A. 20. Núm. 31. D. N. 80. Núm. 32. D. Agustín Sanz, maestro sastre, 60. Núm…</t>
  </si>
  <si>
    <t>Alcázar, Francisco</t>
  </si>
  <si>
    <t>Francisco Alcázar</t>
  </si>
  <si>
    <t>Gaceta de Madrid n.º 42</t>
  </si>
  <si>
    <t>…rjui cio que haya lugar. Por providencia del Sr. D. Manuel Josef Rubio, del Consejo de S. M., tenien te de corregidor de está mmj heroica villa ,, y ante el escribano de su número Don Francisco Alcázar, se ha señalado para el remate de una casa sita en esta corte, y su calle de la Luna, señalada con el núm. 10, de la. manz. 469, tasada últimamente en 12 2464 rs. vn., á la que está hecha postura en 86$ rs. en metálico sin la rebaja dé la carga de farol y ser…</t>
  </si>
  <si>
    <t>Gaceta de Madrid n.º 90</t>
  </si>
  <si>
    <t>…desde él 20 del corriente, ante el.Srl D. Manuel Josef Rubio, del Conse^ jo de S. M., teniente de corregidor de'esta muy heroica villa, por la escribanía* nu¿ meraria del cargo de D. Francisco Alcázar. &gt; - Por providencia del Sr. D. Angel Fernandez de los Ríos , del Consejo de, S. M¿,' primer teniente de corregidor: de,esta muy.heroiiea villa, refrendada del escribano de su numero D. Martin Santin y Vázquez, se Ha mandado sacar á pública subasta por términ…</t>
  </si>
  <si>
    <t>Gaceta de Madrid n.º 130</t>
  </si>
  <si>
    <t>…1 virtud de providencia del Sr. D. Angel Fernandez de los Ríos» del Consejo .de S. M., teniente de corregidor de esta muy heroica villa, y por la escribanía del número de cargo de D. Francisco Alcázar, se vende una casa sita en esta corte, y su cajUe,de la Cruz Verde» barrio de S. Plácido, señaladla con el numero 21 de la Manzana 481, que tiene de sitio 1885 y tres cuartos pies, y está tasada en 50,864 ff^.yn. Quien quiera hacer postura ó mejora ocurra en…</t>
  </si>
  <si>
    <t>Alcazar, Francisco</t>
  </si>
  <si>
    <t>Francisco Alcazar</t>
  </si>
  <si>
    <t>Gaceta de Madrid n.º 159</t>
  </si>
  <si>
    <t>1328</t>
  </si>
  <si>
    <t>…ha sido cumplimentado por el Señor D. Angel Fernandez de los Ríos, del Cotisejo de S. M., teniente primero de corre gidor de esta muy heroica villa, ante el escribano de su número D. Francisco Alcazar, para la citación y emplazamiento por el término de la ley á Doña María Verge y Lorfelin, vecina que se dice ser de esta corte, á fin de que comparezca por sí o _por medio de procurador en el tribunal del referido alcalde mayor á exponer y pedir Jo que la con…</t>
  </si>
  <si>
    <t>Alcedo, Josef María de Urja y</t>
  </si>
  <si>
    <t>Josef María de Urja y Alcedo</t>
  </si>
  <si>
    <t>Gaceta de Madrid n.º 154</t>
  </si>
  <si>
    <t>…cQñcprran á exponer y alegar de su derecho en el expediente de reclamación que se ha formado en dicho juzgado y escribanía de provincia de D. Pedro Josef de Ibabe, á instancia de D. Josef María de Urja y Alcedo; apercibidos que pasado el expresa do término sin haberlo hecho les'parara él perjuicio que haya lugar. Se halla vacante el magisterio de primeras letras de la villa de Brea, su dotación consiste en 200 ducados anuales pagados por tercios por la justicia , y…</t>
  </si>
  <si>
    <t>Alcon, Roque</t>
  </si>
  <si>
    <t>Roque Alcon</t>
  </si>
  <si>
    <t>Gaceta de Madrid n.º 99</t>
  </si>
  <si>
    <t>820</t>
  </si>
  <si>
    <t>…con las obras de Mogo; BFaír: -D. Josef García. Vidal EX Josef GomezHormigo y D. Juan Boíaños Lancha, con las reflexiones de Muratori sobre el buen:gasto,s.D¿ Juan de Qoíntanilla, D. Roque Alcon, D. Pedro Romero Balmasecta y D. Florencio Sánchez Pa vón, con las lecciones instructivas delirarte: EX Gaspar Angulo y Aguado, con los eleiáehtos de retórica &gt;y poética de Araujot iD. Francisco de Pimía Ro.driguez, con la clave geográfica deiFiorez: D. Alons…</t>
  </si>
  <si>
    <t>Aldama</t>
  </si>
  <si>
    <t>…varios trozos mi caballería, logré aprehender al titulado coronel Ramón Del gado, un capitán de la gavilla de Lucas Florez y otros dos rebeldes, matando en el alcance al titulado coronel Aldama. El 9, marché por la hacienda de Sera no á la Calera, y en la noche se aprehendió otro rebelde. El tq permanecí en .dicha hacienda, y el 11 marché á la de Huipana, donde aprehendí otros tres rebeldes. El 12 me dirigí hacia Santiago Conguripo, y en la 'marcha…</t>
  </si>
  <si>
    <t>Aldama, Francisco de</t>
  </si>
  <si>
    <t>Francisco de Aldama</t>
  </si>
  <si>
    <t>…ticas D. Alejandro de Bengoechea D. Josef Aquilino de Acha y D-Felipe de Equileor. Dignos deaccésit.: en h clase de la lengua francesa D. Juan de Garro, D. Vicente de Artiñano . y D. Francisco de Aldama: en la-de matemáticas D. Apolinar de Gardiasabai y D. Saturnino de Ochoa. . El numeroso concurso qué asistió á esta primer prueba que dieron de su aplicación y aprovechamiento los alumnos de dichas escuelas, admiró sus rápi dos progresos en el Corto tériríino…</t>
  </si>
  <si>
    <t>Aldama, Pedro</t>
  </si>
  <si>
    <t>Pedro Aldama</t>
  </si>
  <si>
    <t>Gaceta de Madrid n.º 145</t>
  </si>
  <si>
    <t>1210</t>
  </si>
  <si>
    <t>…a á la augusta Real Persona de V. M.” La ciudad de Alcalá de Henares, por medio de una diputación compuesta de su corregidor D. Joaquín de Zengotita Vengoa , del consejo de S. M.; Don Pedro Aldama, regidor; D. Pablo Urruela, procurador síndico general, y D. Esteban Azaña, secretario de su ayuntamiento, tuvo la honra de felicitar á S. M. el dia 12 de Noviembre; y dicho corregidor le arengó en los térmi nos siguientes: Señor : ,, Feliz aquella hora en qu…</t>
  </si>
  <si>
    <t>Alds, Josef María de</t>
  </si>
  <si>
    <t>Josef María de Alds</t>
  </si>
  <si>
    <t>…o de Marina, excep tuando aquellos como despachos,: títulos, patentes y otros en que Yo ponga ja mía, en los cuales pondréis la vuestra entera.Rubricado de la Real mano dé i%9.= A D. Josef María de Alds.” ’ El Rey nuestro Señor se ha dignado conferir la comandancia general del campo je tiibraltar al teniente general D. Josef O-Donell; la de la proviri:cja de Tuy al mariscal de campo D. Josef Imaz; el gobierno de Gata , en Extremadura, .al capitán D. Antonio…</t>
  </si>
  <si>
    <t>Ale</t>
  </si>
  <si>
    <t>…del primer vale lo fue en Madrid 4 10 de-Abril de 18 r i por D. Ramón de Angulo á Doña Manuela Olabarria'. El rsegundoipór.Di Manuel Loper Maestre, en Madrid 27 de Mayo de 1814, 4 D. Ale jandro Josef de Amírola. Ei tercero. por D. Mateo- Gil de Sola, en Madrid r.° de Abrirde 1814., 4 D-Andrés Fernandez. El cuarto por el .mismo Sola-, en 20 deMa-* JO' del propio año , á D. Ignacio Sua-:e¿. El quinto id. id. El sexto id. id. Y el s¿g-&gt; timo-por…</t>
  </si>
  <si>
    <t>Alea, Josef Miguel de</t>
  </si>
  <si>
    <t>Josef Miguel de Alea</t>
  </si>
  <si>
    <t>…brería de Sojo, calle de las,Carretas , á 44 rs. en rústica y 52 en pasta. ^ Exposición compendiosa de los caracteres de la verdadera religión, por ¿1 9.. P. Gerdil, traducida por D. Josef Miguel de Alea, é impresa en 17.86: un tomo en 8.,°i Véndese á 4 rs. en papel en el almacén de la imprenta Real. Los suscriptores al periódico de música la Lira de Apolo acudirán á recoger $1 se gundo cuaderno del segundo trimestre de este segundo ano, que contiene: canon á…</t>
  </si>
  <si>
    <t>Aledo, Manuel</t>
  </si>
  <si>
    <t>Manuel Aledo</t>
  </si>
  <si>
    <t>Gaceta de Madrid n.º 140</t>
  </si>
  <si>
    <t>…e serán un poderoso aliciente para acrecentar la aplicación de las jóvenes y el zelo de sus maestros y directores. ARTICULO DE OFICIO. El Rey nuestro Señor se ha servido nombrar á D. Manuel Aledo, capitán del regimiento de infantería de la Reina, caballero de la orden Americana de Isabel la Católica, en premio de sus distinguidos méritos y servicios. Por Real resolución de 27 de Octubre último, á consulta del Consejo su premo de la Guerra, se ha servi…</t>
  </si>
  <si>
    <t>Alegre, Joaquina</t>
  </si>
  <si>
    <t>Joaquina Alegre</t>
  </si>
  <si>
    <t>…una de las'huérfanas de los militares ó patriotas que. hubiesen- muerto, en defensa&lt;cie la justa causa de la nación, ha cabido en suerte de.l primer extracto: de ¡Laude éste día á Doña Joaquina Alegre, hija del patriota. D. Joaquín,¡müerto eirel .campo del honor. , ‘ ‘ ..v' o ;&gt;.■ i:. .■ ?/,-{ Coiitimía la lista de los sujetos que ham contribuido &gt;i y se .kan suscrito - en Madrid para socorrer los pueblos epidemiados, o *, . ' ; . .• ;&gt; Numero 441. D. Anto…</t>
  </si>
  <si>
    <t>Alejandro</t>
  </si>
  <si>
    <t>Gaceta de Madrid n.º 1</t>
  </si>
  <si>
    <t>…arts 3® de Noviembre, El 24 del pasada se hizo con toda solemnidad la apertura del curso nor mal de enseñanza mutHapar^a todosiosvcuerposddiegército, con cuyo moti vo pronunció el conde Alejandro de la Borde un elocuente discurso, del. que se han extractado Í0$ siguientes: ■ ‘ ' i',</t>
  </si>
  <si>
    <t>…us to y de la predilección que le irigrecen las artes. El limo. Sr. D. Justo María Ibar Navarro , ministro jubilado del Con*» seio de Castilla, y honorario de su Real Cámara, y el Sr. D. Alejandro Do* larca ; ministro del Real de las Ordenes , á nombre del ayuntamiento de la ciudad de Pamplona han tenido la honra de exponer al Rfcy el vivo dolor qué causó en aqüel cuerpo y todo su vecindario la triste noticia,de la muer* te de la Reina nuestra Señora Doña…</t>
  </si>
  <si>
    <t>Gaceta de Madrid n.º 153</t>
  </si>
  <si>
    <t>1276</t>
  </si>
  <si>
    <t>…los señores Duvergier de Hauranne, Rougier de la Bergerie, Vital Róug, director del banco de Francia, el conde de Lasteirie^ Peuchet, Coquebret de Montbret, Ternáux el mayor y el conde Alejandro de la Borde, Para los artículos dé ciencias están destinados el conde de Lacepede, Par de Francia y Mr. Vauqiíelin j para los de bellas artes el barón Denon , y para los dériítératafa ebccñde de Segur y Mr. Benaben. ' ; ' ‘ ESPAÑA. Havana i.° de Noviembre. -…</t>
  </si>
  <si>
    <t>Alemp.te, Manuel</t>
  </si>
  <si>
    <t>Manuel Alemp.te</t>
  </si>
  <si>
    <t>…s con la epidemia. Número 38. D. Miguel Perez 2® rs. Núm. 39. Doña N. 100. Nóm. 40. D. Santiago Conde 60. Núm. 41. D. Manuel Ximenez 20. Núm. 42. Doña Manuela Alvarez 20. Núm. 43. D. Manuel Alemp.te 320. Núm. 44. Don Francisco Navarro, bordador, 60. Núm. 45. Los oficiales de D. Francisco Navarro, maestro bordador, 130. Núm. 46. D. Juan de Lecanda 100. Nú mero 47. D. Ramón Ramos y Poveda 100. Núm. 48. D. N. 40. Núm. 49* D. Laureano Ramos y Peña 20. Núm. 5…</t>
  </si>
  <si>
    <t>Alensaco, Clara Ortiz de</t>
  </si>
  <si>
    <t>Clara Ortiz de Alensaco</t>
  </si>
  <si>
    <t>…de los Arcos Doña Josefa de Figueroa. 4.0 Los títulos de propiedad de un oficio de procurador de los Reales Con sejos, que correspondió á D. Alejo de Monreal, y antes perteneció á Doña Clara Ortiz de Alensaco, viuda de Domingo de Ochoa, procurador que fue de los Reales Consejos. 5.0 Escritura original de fundación de vínculo y mayorazgo sobre los bie nes y patrimonio que correspondieron á Martin'de Vargas é Isabel Nuñez-su muger, fecha 20 de Abril de 1569 ante el…</t>
  </si>
  <si>
    <t>Alférez, Ramón Mateos</t>
  </si>
  <si>
    <t>Ramón Mateos Alférez</t>
  </si>
  <si>
    <t>Gaceta de Madrid n.º 127</t>
  </si>
  <si>
    <t>…ción es de 200 ducados cobrados del fondo de propios por cuatri mestres y casa pagada. Los pretendientes dirigirán sus memoriales, francos de porte* al secretario del ayuntamiento D. Ramón Mateos Alférez, hasta el dia 30 de No viembre , en que se ha de proveer. Diccionario universal latino-español dedicado al Rey nuestro Señor por Don Mannel de Valbüena. Cuarta edición, corregida y enmendada. Se hallará en la librería de Calleja calle de las Carretas, Los sus…</t>
  </si>
  <si>
    <t>Alfonso</t>
  </si>
  <si>
    <t>Gaceta de Madrid n.º 48</t>
  </si>
  <si>
    <t>…a de la tardé en la cás.a de dicho señor presidente. Las,.personas que quieran hacer mejoras, y enterarse de las condiciones con que se hancelebrado los primeros remates, acudan á D. Alfonso dé Yébenes escribano' del numero de esta muy. heroica villa ,'jy titular de la recibiduríá de l!a orden de S. Juan, quien las mauiíes^ará.' Se halla vacánté la plaza, de médico.dé la villa de Saídaña en la . provincia dé Paléncia: su dotañiohi por sólo 4a vil…</t>
  </si>
  <si>
    <t>Gaceta de Madrid n.º 148</t>
  </si>
  <si>
    <t>…ada tomo lleva una, portada bien grabada, que representa objetos análogos á lo que contiene: tres tomos en 8.° mayor, á 60 rs. en pasta y 50 en rústica. Las Siete partidas del.Rey D. Alfonso el Sabio, cotejadas con varios códices an tiguos, edición hecha por;.la Real academia de la Historia , .y autorizada por S. M. para el uso de los tribunales ¿leí reino: tres tomos en 4.0 mayor, á 150 rs. en pasta.y á 13 2 en rústica. Se hallarán , con las dem…</t>
  </si>
  <si>
    <t>Gaceta de Madrid n.º 160</t>
  </si>
  <si>
    <t>…ncia de 11 del corriente del Sr. D. Francisco Xavier dfc Ojeda, dol Cón^jo» dé-S.' M. en-él supremo de Hacienda', juez asesor general de ip Real Casa y Patrimonio ^ refrendada de; D. Alfonso del; Pozo, escribano de S. y solí Reales caballerizas, y para pago de acreedores, se ha mandado sacar a pública,subasta ,p«jr término de 20 dias, y señalado para su remate el último, que será el 13 de Enero del año próximo de 1820, á las n de su mañana, en la…</t>
  </si>
  <si>
    <t>Alfonso, Anselmo</t>
  </si>
  <si>
    <t>Anselmo Alfonso</t>
  </si>
  <si>
    <t>…nombrados en concurso de oposición D. Alberto:Lista para la clase de matemáticas, D. Antonio del Olmo para la de lengua francesa, D. Francisco Ferraud para la de lengua inglesa, y D. Anselmo Alfonso para la de dibujo Habiendo tomado asientos, el señor prior del consulado D. Manuel María ^de Aldecoa anunció el objeto de aquel acto tan solemne como tierno por un breve discurso; y el profesor de matemáticas leyó en seguida la oración inau gural ,en laque se…</t>
  </si>
  <si>
    <t>Alix, Juan</t>
  </si>
  <si>
    <t>Juan Alix</t>
  </si>
  <si>
    <t>Gaceta de Madrid n.º 39</t>
  </si>
  <si>
    <t>…e’la'época dél uso dé las aguas ó baños minerales ,* en la que deben residir los médicos directores lo mas cerca posible de sus respectiT \oS establecimientos , viven el de gehena D. Juan Alix en la ciudad de Mur cia ; el de Graena D. Francisco García Malo en la ciudad de Gusoix; el del Marmólejo D: Vicente Orti y Criado en la misma villa; el de Alhama Lcñ Diego Rodenas en di^ha' ciudad ; el de Caldas de Oviedo D. Cayetano‘Blanco 'Casariego en la v…</t>
  </si>
  <si>
    <t>Allue, Antonio</t>
  </si>
  <si>
    <t>Antonio Allue</t>
  </si>
  <si>
    <t>…ó| conducíais; y hallándose ya en él Ia-Real comitiva y accmp*-ñan]íiento de'esr tiig* para conducirlos con toda solemnidad al Escorial , la Reai capillapresirr dida:,por el limo. Sr. D. Antonio Allue, obispo: de- Zama, arzobispo electo de; Burgos, y prelado ¡ comisionado, para este acto, ofició solemnes responso^ En seguida el Excmo. Sr.' marques de S. Martin , acompañado del secretario de éjitregás nombrado por S. :M. D. Joaquín Francisco Campuzíino, su…</t>
  </si>
  <si>
    <t>Almagró, Rafael de</t>
  </si>
  <si>
    <t>Rafael de Almagró</t>
  </si>
  <si>
    <t>…ector; y fueron adjudicados en latinidad á T&gt;. francisco Herrador, D. Redro •Pascual Anguita, D. Antonio Martinezj í). Antohio dé Toares, D. Antonio Castillo , D. Martin deTJbéda, D. Rafael de Almagró, D¿ Ramón de Óríiz, D. Josef Cañada, D. Sacerdote Aguilar, D. Agustín de Ortega, D. Pedro Panas y Di Josef Guerrero por'la instrucción y adelantamientos de cada uno de ¿estos alumnos en la parte que profesan ,'y énseñañká que reciben- de sus maestros el presb…</t>
  </si>
  <si>
    <t>Almarza, Fausto de</t>
  </si>
  <si>
    <t>Fausto de Almarza</t>
  </si>
  <si>
    <t>…do tación es la de 9 rs. diarios con la carga de una misa cada semana. Si algún sacerdote quisiere emplearse en este ministerio podrá dirigir su pretensión á D. Heméterió SaJazar, D. Fausto de Almarza, ó D. Antonio Lino Cordon de Tejada, presbíteros beneficiados en la parroquial de dicha villa, y patronos de la citada obra pia. Suscripción al compendio del ano Cristiano, segunda edición: comprende la ex plicación del misterio ó la vida del santo, con su es…</t>
  </si>
  <si>
    <t>Almarza, Manuel.de</t>
  </si>
  <si>
    <t>Manuel.de Almarza</t>
  </si>
  <si>
    <t>…, y D. Melchor Montoya; los 12 gentileshombres ae boca y casa D. Benito Pra do, el barón de Casa-Davalillos, D. Josef Navarro del Dosal, D. Antonio deOñativia, D. Antonio Solana, D. Manuel.de Almarza, D. Tomas Norza-f garay, D. Josef Pascual Oto , D. * Josef Sesé, D Josef Diez, D. Simón Ma teo Perez y D. Donato Arranz; los ocho individuos ya nombrados del Real cuerpo de monteros de Cámara ; doce caballeros pages de S. M., acompaña dos de su ayo D. Miguel…</t>
  </si>
  <si>
    <t>Almazan, Joaquín de</t>
  </si>
  <si>
    <t>Joaquín de Almazan</t>
  </si>
  <si>
    <t>…,; y la otra en la del Olmo* nútq. 4, manz. 25, valuada en 43,37° rs. vn. Y para su remate se ha señalado el dia 30 del corriente, á las 12 en punto de su mañana, en la posada del Sr. D. Joaquín de Almazan, del Consejo de S. M., alcalde de la Real Casa y Corte. Por providencia del Sr. D. Manuel Josef Rubio, del Consejo de S. M., tenien te corregidor de esta muy heroica villa, y por la escribanía de su npmero que egerce D. Juan Raya, se vende una casa sita en es…</t>
  </si>
  <si>
    <t>…, dádivas de diferentes bienhechores. El despacho-, d^ billetes se^hallará én la librería de Ortega , calle de las Carretas, á 2 rea les cad-a billete. A virtud de providencia del Sr. D. Joaquín de Almazan, del Consejo cíe M.', y alcalde de su Real'Casa y Corte , refrendada del escribano de provincia D. Santia go Manuel de Albóniga en,4 del corrientey á instancia del hermano Juan Anto-</t>
  </si>
  <si>
    <t>Almeida, Manuel Rodrigpez</t>
  </si>
  <si>
    <t>Manuel Rodrigpez Almeida</t>
  </si>
  <si>
    <t>…O. Ramón Pepn , D. Josef Rodríguez Romero y EX Fermín Pedregal. En geometría prác tica el referido Barbet, D. Joaquín y D. Luis Ciavareza, D. Fermín Galceran, D. Florencio Pereira/D. Manuel Rodrigpez Almeida, D. Vicente Rey, Don Ramón Casal y D. Manuel María Riberos. En trigonometría plana dichos Díaz, Casal, Rodríguez Almeida, Barbet y D. Luis Ciavareza. En trigono metría esférica los mismos Ciavareza, Casal y Rodríguez Almeida. En cosmográfíív los pifados Rey,…</t>
  </si>
  <si>
    <t>Almeida, Teodoro de</t>
  </si>
  <si>
    <t>Teodoro de Almeida</t>
  </si>
  <si>
    <t>Gaceta de Madrid n.º 61</t>
  </si>
  <si>
    <t>…o con el santísimo corazón de Jesús, y obse quios en actos de desagravios por las injurias hechas al Santísimo Sacramento, y no vena para la fiesta del corazón de Jesús, por el P. D. Teodoro de Almeida, sacer dote de la congregación. del oratorio de S. Felipe Neri de Lisboa, y traducidos por el P. D. Francisco Vázquez, prepósito de S. Cáyetano de esta corte. En este.li bro da á conocer el autor los tesoros de amor divino que tenemos en el corazón de Jesús,…</t>
  </si>
  <si>
    <t>Alon, Josef</t>
  </si>
  <si>
    <t>Josef Alon</t>
  </si>
  <si>
    <t>…reza, Casal y Rodríguez Almeida. En cosmográfíív los pifados Rey, Casal , Riberos, D. Joaquín y D. Luis Ciavareza. En navegación los referidos Pereira, Rey, P. Joaquín Ciavareza y D. Josef Alon so. En geografía el mismo Alonso, Rodríguez Almeida, Rey , D. Joaquín y D. Luis Ciavareza. Y en la aplicación del álgebra á. la geometría y secciones cónicas «Galceran. y Rodríguez Almeida; habiendo merecido la aplicación de todos y sus adelantamientos, nó so…</t>
  </si>
  <si>
    <t>Alonso</t>
  </si>
  <si>
    <t>…ción de este ramo, llarmando á los* que se crean con derecho á suceder en el citado vínculo, que según los llamamientos1 específicos lineales contenidos en la fund'acion de él son D. Alonso de* Contreras, Dona María dé Contreras, D. Josef de Tapia, Doña Ana de Contreras, su rnuger, D. Juan de Tapia y p. Josef de Tapia, y que para que llegue á su no-; ticia se anuncie en la gaceta de esta corte. En cuya- virtud se previene á todos los! que tengan…</t>
  </si>
  <si>
    <t>Alonso, Gabriel</t>
  </si>
  <si>
    <t>Gabriel Alonso</t>
  </si>
  <si>
    <t>Gaceta de Madrid n.º 26</t>
  </si>
  <si>
    <t>227</t>
  </si>
  <si>
    <t>…ti^ne para sus_ sesio nes en la casa del ilustre ayuntamiento, se dio -prinoipio-al sokmne acto con una sinfonía qu¿ ¡égecutó la música de laéantá iglesia catedral; y concluida eí Sr. D. Gabriel Alonso^ canónigo de fadrüisína, y viee-directorde lá Real so ciedad, .leyó un elegante discurso sobre'-la educación de las niñas, y su po derosa influencia para que sean después buenas esposas y buenas madres de fa milia, manifestando^ ihismo--tiempo ía-ateñcion con…</t>
  </si>
  <si>
    <t>Alonso, Jacinta</t>
  </si>
  <si>
    <t>Jacinta Alonso</t>
  </si>
  <si>
    <t>IX39 diez Escandon, por ídem, con 6o ídem. Num. 25. D. J. M. M. , por ídem, con 20 ídem. Num. 26. Doña Jacinta Alonso, por idein, con 10 ídem. Nú mero 27. D. Tomas Alonso, por idem, con 20 idem. Núm. 28. Doña Vic toria Biant, por idem, con 80 idem. Núm. 29. D. N., por idem, con 90 ídem. Núm. 30. León Ponce , por idem, con 20 ídem. Nota, El vale Real de 150 pesos que .cedió D…</t>
  </si>
  <si>
    <t>Alonso, Tomas</t>
  </si>
  <si>
    <t>Tomas Alonso</t>
  </si>
  <si>
    <t>IX39 diez Escandon, por ídem, con 6o ídem. Num. 25. D. J. M. M. , por ídem, con 20 ídem. Num. 26. Doña Jacinta Alonso, por idein, con 10 ídem. Nú mero 27. D. Tomas Alonso, por idem, con 20 idem. Núm. 28. Doña Vic toria Biant, por idem, con 80 idem. Núm. 29. D. N., por idem, con 90 ídem. Núm. 30. León Ponce , por idem, con 20 ídem. Nota, El vale Real de 150 pesos que .cedió D. Custodio Alcalde (nume ro 24 de donativos) se reduj…</t>
  </si>
  <si>
    <t>Alós, Josef María de</t>
  </si>
  <si>
    <t>Josef María de Alós</t>
  </si>
  <si>
    <t>Gaceta de Madrid n.º 72</t>
  </si>
  <si>
    <t>…de este encargo, y dél despacho interino de Marina, concediéndole la capitanía geíñeral del reinó y costa de Granada, para que pueda verificar su restablecimien^ t°; y quiero que D. Josef María de Alós, teniente general de mis Reales -egércitos „ desempeñe interinamente dicho ministerio de la Guerra , encargán dose al propio tiempo del despacho del de Marina. Tendreislo entendida, y lo comunicareis á quienes corresponda para su cumplimiento.” Por providenci…</t>
  </si>
  <si>
    <t>Alós.M, Josef María de</t>
  </si>
  <si>
    <t>Josef María de Alós.M</t>
  </si>
  <si>
    <t>…del mismo nombre. Tendreislo entendido , y lo comunicareis á quienes corresponda para sir cumpli miento. = Está rubricado de la Real mano. =s En Palacio á 6 de Agosto de 1819. = A D. Josef María de Alós.M La junta suprema de Represalias ha resuelto; que por el término, preciso é improrogable de dos meses se cite y emplace á D. Juan Lartigue, de nación francés, ó á sus herederos legítimos, para que comparezcan á usar del dere cho de que se.consideren asistidos á l…</t>
  </si>
  <si>
    <t>Aloy, Josef</t>
  </si>
  <si>
    <t>Josef Aloy</t>
  </si>
  <si>
    <t>Edición extraordinaria</t>
  </si>
  <si>
    <t>Gaceta de Madrid n.º 131 (extraordinaria)</t>
  </si>
  <si>
    <t>PDF p. 9</t>
  </si>
  <si>
    <t>…; D. Manuel Ovarrio Fernandez , contador que fue del tribunal ¿e Cuentas de Buenos-Aires; D Josef Miguel de Muros, teniente de fragata; D. Jacinto Gil de Castro, teniente coronel; D. Josef Aloy , ídem; D. Ignacio Chacón, teniente de navio; D, Josef María Cucalón , capitán ; D. PedroGonzalez y Vázquez, tesorero administrador de tabacos que fue deCumaná ; Don Josef Martínez, coronel agregado al regimiento de Zaragoza; D.Pedro Perez S. Julián , comanda…</t>
  </si>
  <si>
    <t>Alpuente, Dalmacio</t>
  </si>
  <si>
    <t>Dalmacio Alpuente</t>
  </si>
  <si>
    <t>…oidores de la Real au diencia de Valencia, vacantes por promoción de D. Miguel Ramon: Modet y D. Ramón Macía Lleoparf, a D. V ícente .Borja , alcalde del crimen, de la misma, y á D. Dalmacio Alpuente, fiscal de U*. civil del propio tribunal: para esta plaza á D. Josef Ayuso y Navarro, que lo es del crimen de la mis ma; y para esta resulta á D. Fermín Gil. de Linares, fiscal del consejo de Navarra. Paralas cuatro plazas de alcaldes del crimen de dicha audi…</t>
  </si>
  <si>
    <t>Altamirano, Luis Nieulant y</t>
  </si>
  <si>
    <t>Luis Nieulant y Altamirano</t>
  </si>
  <si>
    <t>…os, brigadier de los Reales egércitos. Mayordomos de Semana. A D. Joaquín Montenegro; D Santiago Mendez de Vigo; D. Manuel de Rosales; D. Indalecio de la Torre; conde de Zanoni, y D. Luis Nieulant y Altamirano. Honores de secretarios del Rey. A D. Josef de la Torre y Sainz, y D. Francisco Blasco y Tejedor. Plazas supernumerarias de gentileshombres de la Real casa. A D. Manuel Sainz de la Maza; D. Santiago Vicente Masarnau y Fer-</t>
  </si>
  <si>
    <t>Altillos, Vicente Ruiz</t>
  </si>
  <si>
    <t>Vicente Ruiz Altillos</t>
  </si>
  <si>
    <t>…ro Señor se ha dignado dispensar por el minis terio de Gracia y Justicia de España con el plausible motivo de su augusto enlace. Honores del Consejo de la Cdtnara de Castilla. ¿ A D. Vicente Ruiz Altillos, juez de la Nunciatura apostólica de la cor te, y arcediano titular y canónigo de la santa iglesia catedral de Salamanca. Plaza efectiva del Consejo Real y Supremo. A D. Josef Cavanilles, decano de la' Sala de alcaldes de casa y corte.' Honores del mismo Cons…</t>
  </si>
  <si>
    <t>Alvar</t>
  </si>
  <si>
    <t>Gaceta de Madrid n.º 55</t>
  </si>
  <si>
    <t>…rido cerro, donde se refugiaron úl timamente, por carecer de víveres y municiones suficientes para permaneced en su;observación algunos dias, y tener que retirarse á su destino el Sr. Alvar gonzalez con su sección, según me manifestó al retirarnos á nuestro campo. „ En.este día la indicada sección de Huatusco tuvo herido de alguna con* sideración ahalférez graduado de teniente de dragones del Príncipe D. Manuel Torres, y gravemente al cabo prime…</t>
  </si>
  <si>
    <t>Alvarado, Francisco de</t>
  </si>
  <si>
    <t>Francisco de Alvarado</t>
  </si>
  <si>
    <t>Gaceta de Madrid n.º 158</t>
  </si>
  <si>
    <t>I32® el que les asista en el referido Juzgado y escribanía de D. Francisco de Alvarado, prevenidos que de lo contrario les parará el perjuicio que haya lugar. Qu¡en quisiere hacer postura á los frutos y rentas de la encomienda de la villa de Alange, orden de Santiago, en la provincia de Extremadura, que se arriendan por tres anos, contados desd…</t>
  </si>
  <si>
    <t>Álvarado, Mariano</t>
  </si>
  <si>
    <t>Mariano Álvarado</t>
  </si>
  <si>
    <t>Gaceta de Madrid n.º 121</t>
  </si>
  <si>
    <t>994</t>
  </si>
  <si>
    <t>…Llata; al sargento de" Sierragorda, qiie por su'demasiada bizarría (salió .gravemente. herido de la ca*, beza; á los de igual clase Vicente Monroy y TiSurcio Rea , Vicente Morenoy D. Mariano Álvarado por lá cpnstante decisiqn con que se batierondando, egémplo á la tropa ; y á los cabos del misino Miguel y Vicente Vázquez por , ser de los primeros qué se mezclaron entre los rebeldes, sin olvidar el mérito que contrajo el sargento de S. Carlos Catalino Coro…</t>
  </si>
  <si>
    <t>Alvareé, Antonio'-María</t>
  </si>
  <si>
    <t>Antonio'-María Alvareé</t>
  </si>
  <si>
    <t>1078</t>
  </si>
  <si>
    <t>…el graduado de milicias; D. Antonio Gutiérrez de UÍloa, in tendente de Nueva-Galicia; D. Mariano Antonio de Novoa, coronel dé mi licias; el brigadier D. Sebastián de Ríndelan; id. D. Antonio'-María Alvareé; D. Ignacio Perez de Lente, oficjál dé la primera secretaría dé testado ; D. Josef Villar y Frontín, oficial de la secretaría dél Despacho dé Hacienda; Ddn Honorato Bouyon, brigadier; D. Pedro Leonardo Noriega, teniente coronel; D. Antonio Garfias y Patino, o…</t>
  </si>
  <si>
    <t>Alvarez</t>
  </si>
  <si>
    <t>…de la sociedad’, y -se haámpreso y publicado á costa de la misma, la que se promete ver,plan teada una cátedra de agricultura, que'ha ofrecido regentar gratuitamente el expresado señor Alvarez, si halla medios con que ocurrir á los gastos acceso rios indispensables, mereciendo la aceptación de todos la composición,en ver-SOíque leyó su autor el teniente de navio retirado D. Miguel Alvarez Abarca janáloga-aí.'Qstfinto, despbes de la cual, y publicad…</t>
  </si>
  <si>
    <t>Alvarez, Antonio</t>
  </si>
  <si>
    <t>Antonio Alvarez</t>
  </si>
  <si>
    <t>…allaba de teniente coronel; desdé cuya época no sé ha tenido la menor noticia de su existencia; y se suplica á las personas que puedan dar algún indicio de su paradero lo avisen á D. Antonio Alvarez, plate ro en esta corte, calle de la Montera, num. 15. Minerva ó el Revisor general: tomo x 2 de la parte de miscelánea crítica. La va riedad dé artículos pertenecientes á la literatura, crítica, poesía , historia, víages, bi bliografía v ciencias naturalesha…</t>
  </si>
  <si>
    <t>Alvarez, Antonio Fernandez</t>
  </si>
  <si>
    <t>Antonio Fernandez Alvarez</t>
  </si>
  <si>
    <t>788</t>
  </si>
  <si>
    <t>…djudicó los dos premios de reglamento^ de dos medallas de plata, el primero á D. Francisco Orsolino,' y el segundo á D. Nicolás Arias, declarando el accessit en iguales,términos á D. Antonio Fernandez Alvarez, todos tres naturales dé Madrid, acordando que se expre sase en la gaceta e] mérito de los demas .opositores ; é intnediatámente el Ex celentísimo Sr. director entregó las medallas á los premiados, exhortándolos á continuar con la misma aplicación-en el estud…</t>
  </si>
  <si>
    <t>Alvarez, Domingo</t>
  </si>
  <si>
    <t>Domingo Alvarez</t>
  </si>
  <si>
    <t>Gaceta de Madrid n.º 149</t>
  </si>
  <si>
    <t>1246</t>
  </si>
  <si>
    <t>…o de curas y beneficia dos -de Madrid, los Sres. D. Antonio Martínez de Velasco, cura de Santiago y S. Juan, y abad del cabildo; D. Juan Antonio Salcedo, cura de S. Ginés, decano; D. Domingo Alvarez,. beneficiado propio de Santiago y S. Juan, archivero; y. D. Felipe Guio, cura de S. Andrés, secretario; de los cuales el primero arengó á S. M. en los términos siguientes: Señor: ,,El cabildo de curas y beneficiados de esta vuestra heroica villa y corte nos…</t>
  </si>
  <si>
    <t>Alvarez, Femando</t>
  </si>
  <si>
    <t>Femando Alvarez</t>
  </si>
  <si>
    <t>Gaceta de Madrid n.º 110</t>
  </si>
  <si>
    <t>…á Juan Ace bal, maestro cajero de Real fábrica de armas , por haber presentado una flauta travesera elaborada por él con toda perfección en un torno al aire, que también fabricó. D. Femando Alvarez, vecino de esta ciudad , prescito -un sombrero y una gorra de mediana calidad, que hizo en una fábrica en pe queño que tiene establecida; y para estimularle á que la mejore se le gratificó -con 100 rs. La señora Doña Pascuala Echaburu de Quirós presentó á nom…</t>
  </si>
  <si>
    <t>Alvarez, Josef</t>
  </si>
  <si>
    <t>Josef Alvarez</t>
  </si>
  <si>
    <t>…anto,- D. Sebastián Romero, D. Antonio Medinilla, D. Juan Meáha y D. Francisco Bragne. En la cuarta y última D. Federico Rodríguez Campo, D. Josef Maurelles, P. Sebastian Ximenez, D. Josef Alvarez, D. Bernardíno Marru^mñ .y D. Luis" Alvarez. ... . Sanhícar d^ Bárrame da 24 de Mayo, En Diciemjbre.del año últiipo" se, celebraron en esta ciudad exámenes pú blicos de primeras letras, bajo la dirección del maestro D. Francisco Ren den. Presidió el acto el m…</t>
  </si>
  <si>
    <t>…vecinos del Sombrero y Barbacoas, y han obtenida la nobleza personal* ~ ....... . . ...... Escuadrones^ del Rey. D. Apólinario Alberto. La nobleza!personal. • Captan de milicias. D. Josef Alvarez , natural de Sv Carlos. Xa nobleza personal. '= ■■■ — * Campo -volante del Pao. D. Estéban Prado. Aprobado en su empleo de teniente, y Don personal. . Segundo ayudante de cirugía del egército. D. Tomas Carrillo. La no bleza personal. ■ ; , .! Segundos practic…</t>
  </si>
  <si>
    <t>Alvarez, Juan Antonio</t>
  </si>
  <si>
    <t>Juan Antonio Alvarez</t>
  </si>
  <si>
    <t>…e la Real Orden americana de Isabel la Católica. Por Real resolución de i r del- presente mes , á consulta* del Consejo* su premo de la Guerra, se ha servido S. M. conceder al Dr. D. Juan Antonio Alvarez, profesor de farmacia en la ciudad de Lugo, los honores de primer boticario de egércíto en premio de los servicios que ha hecho en las boticas militares de campaña durante la última guerra;, declarando al mismo'tiempo le ha sido muy grata á S. M- la cesión ^u…</t>
  </si>
  <si>
    <t>Alvarez, Leandro</t>
  </si>
  <si>
    <t>Leandro Alvarez</t>
  </si>
  <si>
    <t>…las funciones de cura del Real palacio, D. Ramón Aguiriano, que hacia las de maestro de ceremonias, D. Blas-Prats, D. Domingo María Tordera, D. Antonio Bermejo, D. Tibureio Saez, D. Leandro Alvarez, D. Luis Ramírez Mon sal ve, D. Agustín de la Rica * D. Julián Arrea, D. Antonio Ramírez de Arellano y D. Pedro Gil; después de haber cantado nuevamente solemnes responsos la Real capilla, presidida por el limo Prelado, á la una y media principió la marcha de…</t>
  </si>
  <si>
    <t>Alvarez, Manuel</t>
  </si>
  <si>
    <t>Manuel Alvarez</t>
  </si>
  <si>
    <t>…ínez, coronel agregado al regimiento de Zaragoza; D.Pedro Perez S. Julián , comandante del primer batallón de Zaragoza; D. Bernardo Vergara, capitán,, ayudante del general Lignan; D. Manuel Alvarez, capitán delTetúmíento 'deZaragoza; D.Manuel Lara, teniente de idem ; D. Manuel Soriano, idem; D. Antonio Tuya, idem; D. Ramón Soto, sargento mayor del regi miento de la Puebla; D.-Francisco de Paula Landa, idem del de dragones de S. Luis; D. Cristóbal Vjllas…</t>
  </si>
  <si>
    <t>Alvarez, Manuela</t>
  </si>
  <si>
    <t>Manuela Alvarez</t>
  </si>
  <si>
    <t>…ara socorrer los pue blos afligidos con la epidemia. Número 38. D. Miguel Perez 2® rs. Núm. 39. Doña N. 100. Nóm. 40. D. Santiago Conde 60. Núm. 41. D. Manuel Ximenez 20. Núm. 42. Doña Manuela Alvarez 20. Núm. 43. D. Manuel Alemp.te 320. Núm. 44. Don Francisco Navarro, bordador, 60. Núm. 45. Los oficiales de D. Francisco Navarro, maestro bordador, 130. Núm. 46. D. Juan de Lecanda 100. Nú mero 47. D. Ramón Ramos y Poveda 100. Núm. 48. D. N. 40. Núm. 49* D.…</t>
  </si>
  <si>
    <t>AlvarezV, Melchor</t>
  </si>
  <si>
    <t>Melchor AlvarezV</t>
  </si>
  <si>
    <t>Gaceta de Madrid n.º 123</t>
  </si>
  <si>
    <t>…j!- ’• : ó' ■ ■ ' ■ . „ . . ' '• • • ' i Parte del teniente coronel D. Epitacio Sánchez al comandante D. Pablé FÍaría de Mouliad. ' . : . . T , ' 1 ib incumplimiento á láMrden del brigadier D. Melchor AlvarezV, fecha 22 .dehquejrigei, que vmd... me comunicó con la -dé 2f dél rñism'o, cóncernientfc á que persiga y destruya los rebeldes acaudillados por Luz Nólaseo’y plateó Hernández, salí con 50 caballos'.tomo alas tres de la tarde del dia de ayer .dél pueblo de S.…</t>
  </si>
  <si>
    <t>Alvargonzalez</t>
  </si>
  <si>
    <t>…ros seis de su gavilla, que sé arrojaron por un precipicio dé la barranca * acosados por la caballería, y se cogieron ocho mugeres. „ El 19, me pareció convenienté que el teniente coronel Alvargonzalez re gresase páVa Huatusco pot él' rumbó del Pinilio con él; objeto de sorprender . algunos rebeldes qué interceptan étt aquel punto lá comunicación dé miatusco con Jalapa', lo qué verificó en, la madrugada del mismo día, dirigiéndome yo al propio tiempo con el…</t>
  </si>
  <si>
    <t>Alvargonzalez, Josef</t>
  </si>
  <si>
    <t>Josef Alvargonzalez</t>
  </si>
  <si>
    <t>…rebélílfes qóe la infestaban, sus ha bitaciones y efectos, lo verifiqué én la madrugada, del 16, habiendo llegado i la una del día ál referido punto, én donde encontré al teniente coronel Don Josef Alvargonzalez con las tropas que había sacado de Hu a tese o, y al'capi tán de realistas de Coatepec D. josef Ruiz Sánchez con las que traía de Jal— : /■' J/1'-"cOmúicó. . "r\r' ,, Al amanecer del diz siguiente dispuse, para réprrer la mayor parte de lá barranca, que el re…</t>
  </si>
  <si>
    <t>Alvargonzalezy, Di Josef</t>
  </si>
  <si>
    <t>Di Josef Alvargonzalezy</t>
  </si>
  <si>
    <t>…a de ía eif-G presada barranca- don el objeto de situarme á la - parte opuesta de ella, entrar en comunicación con la sección de Huatusco al mando del capitán graduado* deteniente coronel Di Josef Alvargonzalezy 411? mismo tiempo se a píoxEmabaiadicha barranca?^ y concertar las operaciones' convenientes contra' los! •^ ' rebddesjque la-babilabanj- . c-. ''i'.= *-*¿1 h- -i -'v</t>
  </si>
  <si>
    <t>Alvavez, Pedro</t>
  </si>
  <si>
    <t>Pedro Alvavez</t>
  </si>
  <si>
    <t>Gaceta de Madrid n.º 17</t>
  </si>
  <si>
    <t>142</t>
  </si>
  <si>
    <t>…; con apercibimiento que de no hacer lo asi les parará el perjuicio que haya lugar. Se halla vacante una de las dos plazas de médicos titulares de la ciudad de Avila por muerte de D. Pedro Alvavez, dotada en 400 ducados, pagados por tercios de los caudales de sus propios y arbitrios, con la precisa obligación de asistir sin ínteres, y con preferencia , á los pobres y las dos comunidades de religiosos franciscos : tiene ademas de este pueblo 11 convento…</t>
  </si>
  <si>
    <t>Alzina, Jorge</t>
  </si>
  <si>
    <t>Jorge Alzina</t>
  </si>
  <si>
    <t>Gaceta de Madrid n.º 83</t>
  </si>
  <si>
    <t>…e la tarde del mismo día.,Al amanecer del 9 fue recono cido é inspeccionado el cadáver bajo las precauciones convenientes por el mó dico consultor D. Jbaqnia-Cm*W» el tdel ^zaretó D. Jorge Alzina, y el f</t>
  </si>
  <si>
    <t>Ama, María Josefa</t>
  </si>
  <si>
    <t>María Josefa Ama</t>
  </si>
  <si>
    <t>…juzgados militares de España y sus Indias por el mismo autor de la obra. Se hallará en la librería de Ibarra, calle de la Gorguera. Grande y magestuoso wals de la Reina de España Doña María Josefa Ama11 a de Saxonia á la feliz entrada de S. M. en Madrid, compuesto separadamente para piano y guitarra por D. J. J. B., y grabado por Virmbs, Esta nueva coraposí.cion consta de 11 partes de mucho gusto, intermediada de una de campanas alusiva . á la entrada. Se…</t>
  </si>
  <si>
    <t>…M. N. y M. L. provincia de Guipúzcoa, la primera de todas las que componen esta vasta monarquía que ha tenido el alto honor de reci bir en su territorio á la Reina nuestra Señora Doña María Josefa Ama lia de Saxonia, de reconocerla’por su Soberana, de admirar y aplaudir sus gracias y virtudes, y de rendirla con sus naturales los mas sinceros y respe tuosos homenages de amor, fidelidad y obediencia, logra hoy la dicha de fe licitar á V. M. por medio de esta…</t>
  </si>
  <si>
    <t>Amador, Juan</t>
  </si>
  <si>
    <t>Juan Amador</t>
  </si>
  <si>
    <t>6</t>
  </si>
  <si>
    <t>…Sr. brigadier D. Manuel María de Torres^” 2.0 Del coronel y comandante general de Valladolíd D. Matías Martin, y Aguirre. „ Excmo. Sr.: El comandante militar de Pátzcuaro teniente coronel Don Juan Amador me dice con fecha 13 del corriente que el de igual clase Don Miguel Barragan en su élíima correría al oriente de su línea logró alguna» ventajas, y entre ellas lá prisión de los titulados coroneles extrangeros Nicolson y Yurtis, cuyo parte todavía no he recib…</t>
  </si>
  <si>
    <t>Amalia, María Josefa</t>
  </si>
  <si>
    <t>María Josefa Amalia</t>
  </si>
  <si>
    <t>…la Magestad del Rey Federico Augusto ha profesado siempre á la . corón^ de;España, y sobre todo las rara?, y sublimes .calidades con que el cielo,, ha.dotado- á la Serma. Princesa Doña María Josefa Amalia? su Sobri na, é Hija del muy, alto y muy poderoso Príncipe Maximiliano, y de la Sere- j nísima Princesa? Garóliná Maria.Teresa, de gloribsa memoria ,;mé digné ele-* gir,iconho elegí,;á D..Fernando de Aguilera y Contreras, marques de Cer cho, caballero gran fc…</t>
  </si>
  <si>
    <t>Gaceta de Madrid n.º 107 (extraordinaria)</t>
  </si>
  <si>
    <t>…creto siguiente: „En consecuencia de lo que por decreto de 10 de Agosto último participé al Consejo y Cámara de Castilla acerca de mi concertado enlace con la Sere nísima Princesa Doña María Josefa Amalia, So brina del Rey Federico Augusto de Saxonia, é Hi ja del muy alto y excelso Príncipe Maximiliano y de la Princesa Carolina María Teresa, de gloriosa memoria, se ajustaron y firmaron por los respectivos plenipotenciarios los artículos preliminares de este ma…</t>
  </si>
  <si>
    <t>…y Juego en esta de Madrid, á que se seguirá la de los desposorios, pre cedida la dispensa necesaria, que ha concedido el Papa, del parentesco que'me une á la Serrina. Pri n-* cesa Doña María Josefa Amalia. Lo participo al mismo Consejo y Cámara- para su inteligencia, y que me acompañe én el regocijo que me causa tan acerrada unión, cuyo feliz resultado^espero será la mayor propagación de nuestra santa fe católica, y las ventajas que iúe prometo se han de segui…</t>
  </si>
  <si>
    <t>1012</t>
  </si>
  <si>
    <t>…l y comandante D. Pablo Ma ría de Mouliaá.” : Irun 3 de Octubre. • • • * Esta mañana á las.10 se verificó el solemne acto de la entrega y recibí* ¿meneo de la Reina nuestra Señora Doña María Josefa Amalia del mo do siguiente: • . . : ; s ,, Hallándose preparada Ja sala, y las dos comitivas vestidas de gala cada juna en su habitación -respectiva ^ el i comisario sáxon tomó las órdenes de S. M. la Reiría pararíd^r .por medio^del furriel, que se hallaba á la puer…</t>
  </si>
  <si>
    <t>…án el 12 dei presente mes, y los dos siguientes, en que tuvo la gran satisfacción de ver dentro de sus muros y alojar en sus casas con sistoriales á nuestra augusta Reina y Señora Doña María Josefa Amalia, y en su Real persona un modelo de virtudes. Una diputación de la ciudad salió á los confínes del termino de ella á ofrecer á S. M. los debidos homenages de sumisión y respeto, y á las u y media d$ ia mañana entró felizmente la Reina nuestra Señora por un mag…</t>
  </si>
  <si>
    <t>Amandi, Ramón</t>
  </si>
  <si>
    <t>Ramón Amandi</t>
  </si>
  <si>
    <t>…o , que por, el centro ya se había unido con nosotros, y por la retaguardia ya habla em pezado á penetrar, habiendo sido rechazado por el valiente teniente gradua do de. S. Carlos D. Ramón Amandi. ,, En es(e in: tante llegó la infantería-; y habiendo acometido vigorosamen te á los rebeldes huyeron vergonzosamente, frustrados completamente sus de signios , después de tres horas y medía de la más gloriosa resistencia, sin ha ber podido rescatar el ganad…</t>
  </si>
  <si>
    <t>Amatriain, Francisco</t>
  </si>
  <si>
    <t>Francisco Amatriain</t>
  </si>
  <si>
    <t>…de Caldas de Oviedo D. Cayetano‘Blanco 'Casariego en la villa de Ayrlés, del principado de Asturias; el de Bussot Don Joaquín Ruiz de Lope en la villa de Albatéra; el de Arnedillo D. Francisco Amatriain en Peñaranda de Duero; el de Bejar D- Josef Rodríguez^ en Tastrapa ; el de Quinto D. Manuel Atranz en Zaragoza; el de Ardales ÍX Juaq de .la Monja en Málaga ; el.de. Caldas de Cuntís y de Reyes D. Jacobo nuel Fernandez en éste último punto; el de Puertollano…</t>
  </si>
  <si>
    <t>Amatriaiñ, Francisco</t>
  </si>
  <si>
    <t>Francisco Amatriaiñ</t>
  </si>
  <si>
    <t>…res, y en la de, 1818 hasta 793» de los cuales 334 eranmi litares y pobres ;,habiendo contribuido á ello .con su sesmero • los ern^ pitados'del mismo establecimieñto , y el médico D. Francisco Amatriaiñ coii su buena y acertada asistencia. r i No satisfecho con esto él Sr. D. Juan Benito -HermosiUa-, del Consejó deS. M. en el de Castilla^ supériíitendente de dichos-baños, bajó la inmediatapróteéción de este supremo tribunal, ha extendido su benéfico é ilustr…</t>
  </si>
  <si>
    <t>Ambrosio</t>
  </si>
  <si>
    <t>Gaceta de Madrid n.º 139</t>
  </si>
  <si>
    <t>…añez . 109.. Núm. 238. Doña C. R. 40.'Nú». &lt;^39. -Doíi G.rP- tGo, Núm*,240. D. Josef Mauri oo* Núm. 341. Doña Anastasia* &gt;£$*13 zaíez 160. Núm. 243. D. M. L. S. C. 300. Núm, 243. ,D. Ambrosio ;Gar¿j¿ de -la Riestra- 40. Ñúm. 244.., ;D. J. Ja P.; 40; Núm. 24 5. D. J, F.i Q, Núm. 246. El teniente coronel D. Juan Delgado 200. :Núm.; 247. ÉLreverr rendísimo P. M. vicario general de una de las.cuatro -órdenes mendicantes^ por si y á nombre de jsu comun…</t>
  </si>
  <si>
    <t>AmgeJ</t>
  </si>
  <si>
    <t>Gaceta de Madrid n.º 86</t>
  </si>
  <si>
    <t>…fner remata, acudan á D. Alfonso de Yévenes,.escribano.deí púmero ae esta-,JT titula? de, Ia.r®cihi.duría?defciiéha- óróen, quién las manifestará. ! ^ , * &gt;',v v,"' :'..b/ Ante el Sr. D. AmgeJ. Fernandez cfta* I&lt;^s. Ríos *. ‘CÓfasfejb* ‘de ‘S. ííí.V'teniente primero de corregidor de esta muy heroica .villa , y por la escrihahíá de* número de D. Claudio Sánz, se ha puesto demanda á nbmbre de /I&gt;. Bartolomé López Pelaez, vecino déla Membrilla , en la…</t>
  </si>
  <si>
    <t>Amherst</t>
  </si>
  <si>
    <t>Gaceta de Madrid n.º 94</t>
  </si>
  <si>
    <t>…bio adjunta. Firmado = Maximiliano Josefa En un periódico jngles.se acaba de publicar la carta dirigida al Príncipe, Regente por el Emperador Kia-King con motivo de la embajada de lord Amherst á China. He áqui los pasages mas notables: ,,Al Soberano de las islas Británicas. „ El Señor supremo de la tierra, que ha recibido el mando del cielo y del tiempo, dirige su imperial mandato al Rey de Inglaterra, de cuyo contenido deberá enterarse. „Vuestro p…</t>
  </si>
  <si>
    <t>Amienta, Antonio</t>
  </si>
  <si>
    <t>Antonio Amienta</t>
  </si>
  <si>
    <t>…ia general del campo je tiibraltar al teniente general D. Josef O-Donell; la de la proviri:cja de Tuy al mariscal de campo D. Josef Imaz; el gobierno de Gata , en Extremadura, .al capitán D. Antonio Amienta; el de! castillo de S. Felipe de la ría del Ferrol al coronel D. Manuel,¡Calderon de la Barca, que lo.era de</t>
  </si>
  <si>
    <t>Amirola, Alejandro Josef</t>
  </si>
  <si>
    <t>Alejandro Josef Amirola</t>
  </si>
  <si>
    <t>Gaceta de Madrid n.º 132</t>
  </si>
  <si>
    <t>…mo del primer vale lo fue en Madrid á 10 de Abril de 181 r por D. Ramón de Angulo á Doña Manuela Olavarria; el segundo por Q. Manuel López Maestre en Madrid á 27 de Mayo de 1814 á D. Alejandro Josef Amirola; el tercero por D. Mateo Gil de Sola en ídem á i.° de Abril de 1814 a D. Andrés Fernandez; el cuarto.por el mismo Sola en 20 de Ma yo del propio año á D. Ignacio Suarez; el quinto ídem ídem ; el sexto ídem Idem, y el séptimo porD. Pedro-Sebastian Perez en Sev…</t>
  </si>
  <si>
    <t>Amonio</t>
  </si>
  <si>
    <t>…s serio y agradable el hermoso y bien • egecutado concierto de violines é instrumentos de aire que dieron los jóvenes -de la misma academia bajo la dirección del maestro de música D. Amonio -Bastida. En la mañana del 30 el propio cuerpo municipal distribuyó solem■ neníente los premios en las casas consistoriales por mano del regidor y secre sta río de dicho establecimiento académico D. Josef García Arteche , y per el orden de las respectivas cen…</t>
  </si>
  <si>
    <t>Amor, Ignacio</t>
  </si>
  <si>
    <t>Ignacio Amor</t>
  </si>
  <si>
    <t>…de Mayo. . ' COMANDANCIA GENERAL DE PUEBLA Y VER ACRUZ. Oficio del brigadier y comandante general XX Ciríaco de Ulano. „ Excmo. Sr.: Acabo de recibir en este instante del teniente coronel Don Ignacio Amor el adjunto parte de la toma de la importante posición enemiga del Arenal, el que original ele\jo á W E. para su superior conocimiento y satisfacción , como lo haré con el pormenor de esta acción, y de todo su re sultado , luego que le reciba del mencionado ge…</t>
  </si>
  <si>
    <t>Ampudiay, Valentín</t>
  </si>
  <si>
    <t>Valentín Ampudiay</t>
  </si>
  <si>
    <t>…tor subinspector al coronel D. Ilde fonso Aragón: á coroneles á los tenientes coroneles D. Juan Bautista Jáuregui y D. Manuel de Hita, coroneles graduados: á tenientes coroneles á Don Valentín Ampudiay D. Manuel Albo, de la extinguida clase de tenientes co roneles segundos; y de la de capitanes segundos, también extinguidos, á ca pitanes primeros á D. Manuel Pastor, D. Rafael de Lara y D. Josef Ortega»</t>
  </si>
  <si>
    <t>An</t>
  </si>
  <si>
    <t>Gaceta de Madrid n.º 5</t>
  </si>
  <si>
    <t>40</t>
  </si>
  <si>
    <t>…ó escribiendot en dere chura á D. Anselmo Montero por Burgos Huermeces. En defecto de la existencia de estos son llamados al goce de dichas vinculaciones los hijos y sucesores de D. An tonio Montero Rodríguez de Ubierna, que por tos años de 1793 se hallaba en Mé xico comandante de inválidos de aquella, plaza, á la que pasó de capitán del regi miento de Asturias, y constando en 1795 tenia una hija en dicho México, de quien debe tener noticia…</t>
  </si>
  <si>
    <t>…encia y comandancia general del Cuzco, en el rei no del Perú, al mariscal de campo Melchor Almene: la comandancia del ¿astillo de S. Felipe del Golfo, en el reino de Goatemala, al coronel D. An tonio de Prado, capitán retirado eü Castilla la Vieja: la del fuerte de S. Car los de Nicaragua, en el mismo reino, al coronel graduado D. Sebastian Anguita, capitán retirado en Andalucía; y la sargentía mayor de la plaza de Puerto-Rico al teniente coronel D.…</t>
  </si>
  <si>
    <t>Gaceta de Madrid n.º 20</t>
  </si>
  <si>
    <t>…á alféreces de fragata de su Real armada á los guardias-marinas siguientes en las dos fechas que se expresan ...... .Coa la de 6 de Febrero de este año: D. Josef Virues y Segovía, D. An tonio Barcaiztegui y Hoyos, D. Miguel Valencia y Donesteve, D. Antonio</t>
  </si>
  <si>
    <t>Gaceta de Madrid n.º 30</t>
  </si>
  <si>
    <t>…es si la ocurrencia de ’los ne gocios lo exigiere; Los accionistas que tuvieren .2 5 ó mas acciones propias de berán hacerlo constar en la secretaría del citado Banco del cargo de D. An drés de la Cuesta, exhibiendo las mismas acciones ó entregando testimonió suficiente que? acredite su pertenencia y los números que comprendan , y si son adquiridas por endosos, á quien están llenas y desde el jueves it de Mar-* seo, en que comienzan los 30 d…</t>
  </si>
  <si>
    <t>Gaceta de Madrid n.º 34</t>
  </si>
  <si>
    <t>…que contiene la farmaco*pea necesaria para el uso de un particular; escrito en ingles por el Dr. Jorge Buchau, del colegio de médicos de Edimburgo; traducido al castellano por el coronel D. An tonio Alcedo, capitán de Reales guardias españolas. La sencillez, claridad, método y orden de este escrito, la solidez y veracidad de sus máximas, terapéutica, hacen esta dbra recomendable é importantísima á los médicos, cirujanos yá todos los que se interese…</t>
  </si>
  <si>
    <t>Gaceta de Madrid n.º 81</t>
  </si>
  <si>
    <t>…Grijas,albas,.,..................... . ; 78 , Ortigosa del'Monte............ 100 ^466 ^ i . ... {Se continuará ) En virtud de Real facultad y auto de,su cumplimiento dado pór fel Sr. D. An gel Fernandez- de los Ribs , del Consejó dé S; M. , pfidier teniente de corregidor dé ésta'muy heroica villa, su fecha' 2 i del corriente, se ha mandado anunciar la subas ta de üna casa sira en la calle de Santiago, número 32, manz. 417, que tiene de4 si tio…</t>
  </si>
  <si>
    <t>…........‘-'■'■■i- •' • - yi ! Por el 'juzgado dé provincia del- Sr. D. Julián1 de Agudelo ’y Céspedes , al calde del Gruñen de la Real audiencia de Sevilla, y por la escribanía de D. An tonio Domínguez, penden autos sobre cumplimiento del testamento qué otorgó Pona;Francisca Lorenza Seguvir, viuda de D. Pedro Pumafejo, la cual por una dé las£láusttlasi:fundó, un, patronato de legos, nombrando por patrono y adminis trador de él á la Real casa…</t>
  </si>
  <si>
    <t>An, Juan</t>
  </si>
  <si>
    <t>Juan An</t>
  </si>
  <si>
    <t>…a y un soldado de Río Carives: heridos el subteniente de Clarines D. Josef María Mendez y 2 soldados de las Milicias de Carupano, 2 soldados y el subteniente de las de Rio Carives D. Juan An tonio Fernandez , y 6 soldados.” 2.0 ,, El brigadier D. Tomas deCires, gobernador de la provincia de Cu,maná, y comandante general de la cuarta división, con fecha de i.° del ac tual me dice lo siguiente: Exorna. Sr.: Informado por la correspondencia que se t…</t>
  </si>
  <si>
    <t>Ana, Claudio</t>
  </si>
  <si>
    <t>Claudio Ana</t>
  </si>
  <si>
    <t>Gaceta de Madrid n.º 18</t>
  </si>
  <si>
    <t>148</t>
  </si>
  <si>
    <t>…íticas y militares con que siempre se han señalado en defensa de los derechos de su patria y Soberanos. Educado en la escuela y máximas de sus mayores, no ha desmentido el difunto D. Claudio Ana la procedencia de su origen, pues que debiendo imitarlos, y con obligación de aventajarlos en las glorias que por herencia habia de ellos adquirido, entró.á los 11 años de su edad en la honrosa carrera militar y clase de cadete de artillería en la aca demia d…</t>
  </si>
  <si>
    <t>Anastasia</t>
  </si>
  <si>
    <t>…M. 10. Núm., 235. D. N. 240. Núm. 236. D. N. 3. Númeijé £37. D. Joaquín Ibañez . 109.. Núm. 238. Doña C. R. 40.'Nú». &lt;^39. -Doíi G.rP- tGo, Núm*,240. D. Josef Mauri oo* Núm. 341. Doña Anastasia* &gt;£$*13 zaíez 160. Núm. 243. D. M. L. S. C. 300. Núm, 243. ,D. Ambrosio ;Gar¿j¿ de -la Riestra- 40. Ñúm. 244.., ;D. J. Ja P.; 40; Núm. 24 5. D. J, F.i Q, Núm. 246. El teniente coronel D. Juan Delgado 200. :Núm.; 247. ÉLreverr rendísimo P. M. vicario general d…</t>
  </si>
  <si>
    <t>Andiá, Josef</t>
  </si>
  <si>
    <t>Josef Andiá</t>
  </si>
  <si>
    <t>…osiciones de aritmética y álgebra, demostrándolas por los métodos de Lr;croix ,"de Bezout y Lagrange, y satisfaciendo á las cuestiones que les pre sentaba él censor de este examen D. Josef Andiá, coronel retirado del Real cuerpo de .artillería, últimamente se expusieron á la vista del público en el --salón de ía academia todas las obras de los profesores del dibujo; designán dose por el director del arte D. Fidel de la Roca aquellas que merecían el -…</t>
  </si>
  <si>
    <t>Andino, Francisco Sanz de</t>
  </si>
  <si>
    <t>Francisco Sanz de Andino</t>
  </si>
  <si>
    <t>…iales, tropa y demás individuos del bergantín , que ni aún heridos y tendidos sobre la cubierta quedan separarse de su puesto; tecotíiieridó particularmente al- alférez de fragata D. Francisco Sanz de Andino, que á pesar de venir muy enfermo durante la navegación, no consintió en guardar la cama, sino qtip se presentó desde luego en su puesto, y ha sido Herido graitemehtef; é igtíaímenie r^domiénda el mérito especial de otros oficía le^é ind^vMtosrde su dotación.…</t>
  </si>
  <si>
    <t>Andrade, Juan de</t>
  </si>
  <si>
    <t>Juan de Andrade</t>
  </si>
  <si>
    <t>Gaceta de Madrid n.º 112</t>
  </si>
  <si>
    <t>…misma D. Manuel López de Rivas, se ha mandado sacar á pública subasta una casa -sita en la villa de Aravaca, junto al hospital de la misma, propia de la testamentaria del difunto D. Juan de Andrade, la que se halla valuada en el día en 12S rss, y está hecha positura en las dos! tercera*-partes de dicha suma en efectivo metálico. El que quiera hacer mejora acuda al juzgado del nominado señor alcalde, y escribanía dal precitado Rivas ; en la inteligencia…</t>
  </si>
  <si>
    <t>Gaceta de Madrid n.º 129</t>
  </si>
  <si>
    <t>…bre próximo pasado que se . hallaba., señalado para su remate, la casa sita en la villa de Aravaca, inmediata al hospital de la misma, perteneciente á la testamentaría del difunto D. Juan de Andrade ,.ve.cino que fue de ella, la cual se hal'a valuada en él dia en 12© rs. vn., y está hecha postura en las dos terceras partes de dicha suma en efectivo metálico. El que quiera hacer mejora acuda al juzgado del nominado señor alcalde, que le será .admi ti da;…</t>
  </si>
  <si>
    <t>…cha 20 del corriente mes, se ha mandado publicar por otros tres dias mas la casa sita en la villa de Aravaca, contigua al hospital de la misma, perte neciente ála testamentaría de D. Juan de Andrade , radicada én el juzgado del señor alcalde de Casa y Corte D. Martin de Gáztañaga y escribanía de provincia de Don Manuel López de Rivas, cuya casa se halla val'uada en u^.-rs.', y después de ha-4 berse rematado en 8391 se hizo mejora hasta en cantidad de 88o…</t>
  </si>
  <si>
    <t>Andrade, Justa</t>
  </si>
  <si>
    <t>Justa Andrade</t>
  </si>
  <si>
    <t>…e un mes, remitiéndolo al escribano de ayuntamiento. En la villa de Ocaña, provincia de Toledo, falleció abíntestato en la noche del dia i.° del pasado D, Andrés Bonilla, viudo de Doña Justa Andrade, avecinda da en la propia villa. Los que crean tener derecho á los bienes que ha dejado, acudi rán á deducirle ante el alcalde mayor de ella, juez de la testamentaría, dentro de dos meses contados desde esta publicación.. Obras de D. Josef Cadalso, comandante…</t>
  </si>
  <si>
    <t>Andreossi</t>
  </si>
  <si>
    <t>…bajador en la corte de Londres en vez del marques de Osmond; y se ase gura que el marques Maison reemplazará al conde Justo de Noailles en la embajada de Petersburgo, y el general conde Andreossi al marques de Riviere en la de Constantinopla. Se esperaba en Petersburgo al Emperador Alejandro el día 4 de Enero. Idem 29. En uno de estos días pasados recibid el Rey en audiencia particular á monseñor Gregorio Pedro Giarve, obispo maronita con el título de…</t>
  </si>
  <si>
    <t>Andrés</t>
  </si>
  <si>
    <t>Gaceta de Madrid n.º 87</t>
  </si>
  <si>
    <t>t.e por la escribanía-' citada dentro del término de jo días, contados desde el de la publicación. D. Cayetano, D. Andrés,,Doña Ines, Doña Petronila y Doña Manuela Benito solicitan se íes declare^ herederos abintestato de su hermano D. Félix, vecino que fue de esta muy heroica villa; y por providencia del Sr. D. Angel Fernandez de los Ríos, del Consejo de S. M., teniente primero…</t>
  </si>
  <si>
    <t>…ez: D. Alonso Fernandez , con las‘fá bulas de Samaniego: D. Josef de Quintanilla, con las de Triarte r D. Manuel de la Serna ;y Ascáráte, con la gramática de la academia españolar D. Andrés .Cor'sitip de Salas,, con la ortografía de la misma: D. Tomas García, con la co lección de autores latinos de Lozano: D. Miguel Granado García, con la gra. marica latina de Aráujo : D. Rafael Granado Bellido , con la castellana del mismo, y 1). Nicolás Villar…</t>
  </si>
  <si>
    <t>Andrés, IX</t>
  </si>
  <si>
    <t>IX Andrés</t>
  </si>
  <si>
    <t>82</t>
  </si>
  <si>
    <t>…está corte, calle efe las Fuentes, se-1 Safada con el niim. g ác la man?. 414, que comprende 4698 pies de sitio, tasada en, 285,852 rs., que se vende en virtud de providencia dei Sr. IX Andrés 011er,. del' Consejo de S. M , alcalde de Casa y Corte, acuda por la escribanía ele provincia de" I&gt;. Pedro* Josef de íbabe, dentro de go diás útiles, que cumplirán-en16;de Setiembre’ próximo, y se admitirán siendo arregladas, ' - “ ; ' ‘■i - - í"'; &lt; Quisn q…</t>
  </si>
  <si>
    <t>Anes, Ramón</t>
  </si>
  <si>
    <t>Ramón Anes</t>
  </si>
  <si>
    <t>…pueblo; y visto y tocado los resultados de ella por mí, no puedo menos de manifes tar á V. S. lia sido uno de los dias de gloria para las armas de S, M. El co mandante del pueblo capitán D. Ramón Anes se ha cubierto de laureles, sos teniendo una empeñada acción hastar las diez de la mañana con cinco flecheras &lt;5 caladoras, en las que condujeron todas sus fuerzas de desembarco, y estas acoderadas en la playa protegiendo su infantería, hasía tanto que con to…</t>
  </si>
  <si>
    <t>Ange</t>
  </si>
  <si>
    <t>…dividuos;de la Real sociedad eñ el Séloii de sus sesiones, se presentaron los ocho alumnos mas so bresalientes de la cátedra, que fderori DJBefiito Ferrandez, D. Santiago Te jada, D. Ange{ Valero Sardi, D. Pedro Gudál, D. Pedro Antonio Pallete, D. Juan María, BiecyD. Pedro Nogues Secall, y D. Anacleto Toron y Dolz. El catedrático del establecimiento D. Agustín Alcaide dio principio al acto, manifestando la necesidad del estudió de la economía,…</t>
  </si>
  <si>
    <t>Angel'Fernandez-</t>
  </si>
  <si>
    <t>…qlie tiene-de sitio en Ja planta baja'1220 y un cuarto pies, en1 la del piso principal 2335/y(en el segundo-233/tasada eii *,78,434 rs. Quién quisiere hafcer postura-acuda &amp;nte ¿1 Sr. D. Angel'Fernandez- dé los Ríos, del Consejo detSvsM. ,-teniente corregidor ide ésta: muy heroica; villa:, y por lá escribanía de'su número que egerce D.JuamRaya. ..!_&gt; : ; , . jn r:&gt;.r A instancia de sus dyenpsvy para«pagOi.idp^acjpess|orf»¿' $e vende iiipacasa sita^ta esta cor…</t>
  </si>
  <si>
    <t>Angel, Juan de Orduña y</t>
  </si>
  <si>
    <t>Juan de Orduña y Angel</t>
  </si>
  <si>
    <t>…AUDIENCIAS. De la chancillería de Valíadalid. A D. Josef Tagte Bustamante, asesor del Real sitio de Aran juez; Don Francisco María Sánchez Castilla, corregidor de Aranda de Duero; D. Juan de Orduña y Angel, alcalde mayor del Real sitio de S. Lorenzo, y D. Jo sef de Urrutia, agente fiscal segundode la junta suprema patrimonial de Ape laciones, con antigüedad. De la de Granada. A D. Benito Saenz González, asesor del Real sitio* de S. Ildefonso, y D. Juan Meneses…</t>
  </si>
  <si>
    <t>Angel-</t>
  </si>
  <si>
    <t>…de Barcelona al tupiente •,coronel. T&gt;. Mjgpel Marques, espitan dé i'batallen ligero de voluptad ríos de Valencia; y en América el gobierno de la provincia de Tabasco al xeniente coronel D. Angel- .de Toro , capitán del batallen de Castilla, fijo de Campeche. . Asimismo ha concedido S. M. la auditoría de guerra de la capitanía ge neral dé Castilla la Vieja á D. Josef Jalón y Jalón. —&gt;'7 ......,p, r ' ¡ w— — — mi mi» * —[ Con Real órdemde 13;de Marzo de…</t>
  </si>
  <si>
    <t>Angel.Fernandez</t>
  </si>
  <si>
    <t>…..... 6oj Aldehuela............................. 71 Bustar viejo....................... 2442 El Soto.............. ............ 5.7 '(Se continuar a.) En virtud de providencia del Sr. D. Angel.Fernandez de los Ríos, del Consejo dé S. M., teniente de corregidor de esta muy heroica villa» se. manda sacar á públi ca subasta una casa sit&gt; en esta corte, calle del Humilladero, número 6, manz. io8# tasada en ^9,684 rs. vn., que se compone de 500 pies de superficie…</t>
  </si>
  <si>
    <t>Angel’Fernandez</t>
  </si>
  <si>
    <t>…acuda dentro del referido término anr te dicho señor juez y citada escribanía; donde se admitirá la que fuese siendo arregla da y en din.ro metálico sonante. Por provi.Jencia del Sr. D. Angel’Fernandez de lds Ríos , del Consejo dé S. ,M., teniente corregidor de esta muy heroica villa,' y por ía*éVcri!&gt;anía déí rtúméro de 'Dpñ Cristóbal de Vicuña, se ha señalado el día 3-0 ;del corriente; dé’doce á: una dé sii mañana, para el remate de la hacienda ó heredad…</t>
  </si>
  <si>
    <t>Anguita, Sebastian</t>
  </si>
  <si>
    <t>Sebastian Anguita</t>
  </si>
  <si>
    <t>…en el reino de Goatemala, al coronel D. An tonio de Prado, capitán retirado eü Castilla la Vieja: la del fuerte de S. Car los de Nicaragua, en el mismo reino, al coronel graduado D. Sebastian Anguita, capitán retirado en Andalucía; y la sargentía mayor de la plaza de Puerto-Rico al teniente coronel D. Francisco Steriing, capitán del. batallón li gero de Hostalrich.. El Rey nuestro Señor, teniendo en consideración los muy importante! servicios con que en t…</t>
  </si>
  <si>
    <t>Angulo</t>
  </si>
  <si>
    <t>…e un excelente oficial; por lo que le considero muy digno de alguna gracia. Nuestra pérdida ha consistido en dos caballos muertos. La del ene migo ha sido la del titulado teniente coronel Angulo, un capitán, un teniente y 34 soldados muertos; muchos heridos, 26 caballos con sus monturas, y 32 prisioneros. El mencionado Angulo me dijo entre otras cosas, después que se le curó, que tenia en el paso de Apure, llamado Dividivis, 600 caballos ru cios, y h…</t>
  </si>
  <si>
    <t>Angulo, Carlos</t>
  </si>
  <si>
    <t>Carlos Angulo</t>
  </si>
  <si>
    <t>…, ' . , ■ De Vivero. ' &gt; A D¿ Nicolás Bartolomé Alvarez Pardo. u . • ^ r De Carrion de los Condes. A D. Julián Bringas. ALCALDES MAYORES. . ^ T , De Medina de las Torres. " ‘ ^ A D. Carlos Angulo. ' ! ' De Fiñana. ’ * /. * , A D. Juan Antonio Bolaño. Délas poblaciones de Sierramorena. A D* Antonio Lafuente y Oquendo. : X , : . i - ^ De lo criminal y policía de Cádiz. A D. Joaquín de la Escalera. ' *</t>
  </si>
  <si>
    <t>Angulo, Ramón de</t>
  </si>
  <si>
    <t>Ramón de Angulo</t>
  </si>
  <si>
    <t>…a en Barcelona 7 de'Abril del propio añoy.á favor de Di Ramón Romané, y después de otros diferentes endosos, el último del primer vale lo fue en Madrid 4 10 de-Abril de 18 r i por D. Ramón de Angulo á Doña Manuela Olabarria'. El rsegundoipór.Di Manuel Loper Maestre, en Madrid 27 de Mayo de 1814, 4 D. Ale jandro Josef de Amírola. Ei tercero. por D. Mateo- Gil de Sola, en Madrid r.° de Abrirde 1814., 4 D-Andrés Fernandez. El cuarto por el .mismo Sola-, en…</t>
  </si>
  <si>
    <t>…con fecha en Barcelona á 7 de Abril del propio año á favor de Don Ramón Romani: después de diferentes endosos el último del primer vale lo fue en Madrid á 10 de Abril de 181 r por D. Ramón de Angulo á Doña Manuela Olavarria; el segundo por Q. Manuel López Maestre en Madrid á 27 de Mayo de 1814 á D. Alejandro Josef Amirola; el tercero por D. Mateo Gil de Sola en ídem á i.° de Abril de 1814 a D. Andrés Fernandez; el cuarto.por el mismo Sola en 20 de Ma yo…</t>
  </si>
  <si>
    <t>Anselmo</t>
  </si>
  <si>
    <t>…los regulares dotados con bienes consistentes en el referido pueblo de Huermeces, ciudad de Burgos,.y otros-, que con motivo de ignorar su paradero ha solicitado á su nombre dicho D. Anselmo su sobrino la po&amp;esion real de dichas vinculaciones, y en efecto se hallan en tal caso, habiendo prestado la correspondiente fianza; por lo que se avisa á dichos señores y á todas las personas que tengan noticia de su paradero .para que la den en Madrid en la…</t>
  </si>
  <si>
    <t>Anto</t>
  </si>
  <si>
    <t>…Campos, asesor ae"correos en taHavana; D. Jo sef Parada, secretario de ^rrtbajkda; ehD: ^M'atías AgüiiáfV pirésbítero de Tenerife; D. Josef María, Borras, maesj^arit^de Valencia; D. Anto nio Capetillo, administrador dé Correos dé * Valencia; D. Gregorio Joa quín Piquer, canónigo de Valencia, yrector desaquella* universidad; marques de Ca&lt;a-Calderon &gt; alcalde dei Crimen en Lima; D. Antonio Picardo, Vecino de Cádiz ; D. Baltasar de Represé, com…</t>
  </si>
  <si>
    <t>Anto, Francisco</t>
  </si>
  <si>
    <t>Francisco Anto</t>
  </si>
  <si>
    <t>…roica, imperial y coronada villa de Madrid en la iglesia de S. Felipe el Real él día s.° de Abril del presente año en sufragio por el Rey D.rCirlos: iv de Barbón pronunciA el: Dr. D. Francisco Anto nio Gonzaléz, deí jgremfo» y claji¡stro:de lá ¿universidad deVAlcalá de Henarei£ bi bliotecario mayor honorario^ y jprpdicádQr ^e S, M. ii yr rector 4el - hospital de^ia Latina.* Se hallará en la librería,de Perqz;,, ca}l$ de_» las;Qarret#s-,;y en la.delOreai…</t>
  </si>
  <si>
    <t>Anto, Josef</t>
  </si>
  <si>
    <t>Josef Anto</t>
  </si>
  <si>
    <t>…ía , prebendado en Segovia ; D. Manuel Fidalgo, intendente de Zamora; el conde de Calatrava', gentilhombre de Cámara; Dbn Esteban Asta, gobernador de la sala del Crímen depáceres; D. Josef Anto nio Serrano y D. Vicente Esteve, alcaldes de la misma audiencia. Orden de María JLuísq, \ } Marquesa de Castromonte; condesa de la Puebla de los Infantes; marque sa de Castelar; duquesa de S. .Lorenzo; marquesa viuda de S. Román Doña Mana Guadalupe Moneada de…</t>
  </si>
  <si>
    <t>Anto, Juan</t>
  </si>
  <si>
    <t>Juan Anto</t>
  </si>
  <si>
    <t>Gaceta de Madrid n.º 120</t>
  </si>
  <si>
    <t>…do vínculo, y que á mayor abundamiento se anuncie en este periódico para que llegue á su noticia. En cuya in teligencia se previene á los' parientes y descendientes del citado Sr, D. Juan Anto nio Perea que dentro de cuatro meses y 20 dias, que por segundo término se les ha señalado, acudan al juzgado de la expresada subdelegacion general á exponer y de cir de su derecho; apercibidos que pasado dicho término sin haberlo hecho se de clararán vacante…</t>
  </si>
  <si>
    <t>Anto-</t>
  </si>
  <si>
    <t>…uestró Señor.; protector benéfico! d«. las Reales:escuelas; gr-atuirais y de íla supVémá Juntan general de-Caridad; El profesor de agricultura del Real Museo de ciencias'naturales D. Anto-</t>
  </si>
  <si>
    <t>Antoñana, Bernardo Diaz de</t>
  </si>
  <si>
    <t>Bernardo Diaz de Antoñana</t>
  </si>
  <si>
    <t>Gaceta de Madrid n.º 82</t>
  </si>
  <si>
    <t>682</t>
  </si>
  <si>
    <t>…ente Salucí ha acu dido ante el Sr. D. Angel Fernandez de los Rios, del Consejo de S. M., primer te niente corregidor de esta muy heroica villa, y por la escribanía del numero cíe Don Bernardo Diaz de Antoñana, exponiendo que por el secuestro sufrido en el año de 1805 por causa formada por la Real Hacienda, tanto de todas sus pertenencias como de las'de su casa social de giro, bajo la denominacion.de D. Vicente Saluci y com pañía; y no obstante que en los años de 1…</t>
  </si>
  <si>
    <t>Antoñana, Bernardo Díaz de</t>
  </si>
  <si>
    <t>Bernardo Díaz de Antoñana</t>
  </si>
  <si>
    <t>…o 5833 pies cuadrados superficiales , y’ está .retasada en 43,42.6. rs. vn. Las personas qu,é quieran hacer postura ¿ ellas acudan añte‘dicho señor juez y escribanía del número de D. Bernardo Díaz de Antoñana j donde se admitirán las que se hicieren siendo arregladas^ ; ; ' El sabio en la ,soledad por el célebre Eduardo Young, traducido, y corregido por í).‘ Antonio 'Se Hwáger, capitán primero del regimiento suizo de Reding, aumentado con la oda de la mañana que e…</t>
  </si>
  <si>
    <t>Gaceta de Madrid n.º 116</t>
  </si>
  <si>
    <t>…Rubio? déi Consejo :de S. M/, teniente corregidor de esta muy heroica villa. Las personas que.quieran hacer ppstura á ellas-acudan ante dicho señor juez y Escribanía del número de D. Bernardo Díaz de Antoñana, dón de se admitirán las qué se hicieren siendo arregladas.. En consecuencia de lo mandado por $1 señor subdelégadó general de bienes Mos- ’ trericoá, vacantes y abintéstafos en ¿uto; de r.° dél corriente ; se cita, llama y em plaza a D. Juan Saenz de Tejada,…</t>
  </si>
  <si>
    <t>996</t>
  </si>
  <si>
    <t>…, vecino que fue de esta corte, para que en el tér mino precisó y perentorio de 20 días, contados desde 15 del pasado, comparezcan ante dicho señor por la escribanía del numero de D. Bernardo Díaz de Antoñana, á usar del derecho que les asista en autos que en el año de 1794 principió D. Mateo García con 0. Rafael Bárceló y su fiador el 0. Miguel Sempere sobre pago de cierto crédito, los que en el dia continúa Manuel Artádi, como heredero fideicomisario de García,…</t>
  </si>
  <si>
    <t>Antonia</t>
  </si>
  <si>
    <t>626</t>
  </si>
  <si>
    <t>…rit, citan y emplazan por el presente á los sacerdotes, ó que esten próximos á ordenarse de misa*? y tengan parentesco mas inmediato con D. Cristóbal de Gracia, difunto, y su hija Doña Antonia, llamados á dos memorias de misas que se hallan vacantes dotadas* con 150 ducados anuales y cinco misas cada semana en dicho convento de Ja Santí sima Trinidad en los días que señala la fundación, para que en ei término de 30 dias comparezcan con los document…</t>
  </si>
  <si>
    <t>Antonia, María</t>
  </si>
  <si>
    <t>María Antonia</t>
  </si>
  <si>
    <t>…emplazar por primer término de 30 dias, contados desde lá publicación de este anuncio, á to das y cualesquier personas que se crean con derecho á los bienes de la testamentaría de Doña María Antonia de las Fuentes, muger que fue de D. Cristóbal Pantigoso, ve-, ciño de esta corte, para que por medio de procurador, con suficiente poder, acudan á deducir la acción que les competa , y legitimar, sus (créditos en la referida audiencia y expresada escribanía;…</t>
  </si>
  <si>
    <t>…a déTIaReal escuela det barrio de las SaLsas, ídem; en el de S. Martin á Doña María, dé laMata» maestra de la Real escuela del barrio de S* Luis* iden^i en el der¡S.i Gerdni^ mo á Doña María Antonia de la Yerba, maestra de la Real escuela'dei ibarrid de Pinto, idem t. en el de A vapies ,á Dpña Mariana: &gt;Pobeda, ?máestra&gt;; de Id Real escuela del barrio del Amor de Dios, . ídem * qn ¡el íde;S&gt;¡Tstclrb áDoñd Isabel del Valle, maestra deda Rea) escuela de) b…</t>
  </si>
  <si>
    <t>Antonio</t>
  </si>
  <si>
    <t>7</t>
  </si>
  <si>
    <t>…cuántos eran los vales , á qué cantidad ascendía su valor, ni cuáles eran sus números; pero no se duda que era cosa de consideración, y que los endosos serían á favor del m:srr¡o D. Antonio, ó de su madre viuda Doña María Rosa; y como ha podido acontecer que éstos vales sé extraviasen de la casa del difunto, ó del párage donde</t>
  </si>
  <si>
    <t>…aciones contra Eortugal, continuando con aquel carácter hasta la paz. Invadida la corte por las tropas francesas en 1808 manifestó varias veces á S. A. R. el Sermo. Se ñor Infante D. Antonio sus deseos de ser empleado en defensa de los derechos del trono y la nación; y cuando en Mayo del mismo año reunió en su cesa el capitán general de la provincia á los oficiales generales que estaban en ella de cuartel-para que se consideraran absueltos de la…</t>
  </si>
  <si>
    <t>…guientes en las dos fechas que se expresan ...... .Coa la de 6 de Febrero de este año: D. Josef Virues y Segovía, D. An tonio Barcaiztegui y Hoyos, D. Miguel Valencia y Donesteve, D. Antonio</t>
  </si>
  <si>
    <t>…a ¿gemplar. Puede ir en carta. En la Guia de litigantes de este año de 1819 , pág 29 y 30, donde se halla el artículo de los cronistas y reyes de armas de S. M., debe entenderse á D. Antonio ’Rújula y Busel por el segundo de los cuatro de número, y no el cuarto como allí está puesto , por ser aquel el lugar que le corresponde. EN LA IMPRENTA REAL.</t>
  </si>
  <si>
    <t>…todas clases de música vocal é instrumental, nacional y extrangera- á precios arreglado?, y s.q admiten comisiones. ’ : h í . . . .. ) Niimancia, tragedi^ española , refundida por D. Antonio‘ Sabiñon / Impresa' 6ti papel marquilla, qué es lá que se répréséñtá en ¿1 teatro del Príncipe-.Vélídleáe enJláí librería de Ibarra, calle de la Gorguera ,. á 4 rs. á la rústica. . . ' ■ , -y ■ ' - i ■}.: •. 7 , -j &gt;. &gt;j. o]-- . 'i j 1. EN XA IMPRENTA REAL.</t>
  </si>
  <si>
    <t>Gaceta de Madrid n.º 24</t>
  </si>
  <si>
    <t>…arse derecho alguno, con. arreglo al Real decreto, de 30 de Mayo des 1817. Por resolución á consultas del Real Consejó de las Ordenes se ha sérvidóí el Rey nuestro Señor nombrar á D. Antonio de la Sierra Arce y Lamas para h varia dé aícáldé máyór de la villa de Segtír'a de Leon:, vacante por fallecí— miéntd de D. Ftáncisco Javier Montero y Losada; y para la de la yjíia dé Villafranca de los Barrbs,' &lt;^ue ló está porél de D. Isidro Mácía de Lleopa…</t>
  </si>
  <si>
    <t>…Riotuerto, sobre la venta de vinos forasteros cuando acordasen sus concejos, y que las posturas deben dar los respectivos regidores; el cual se halla autorizado por el escriba no D. Antonio de la 'Carcoba. 20.. Instrumentos para el Sr. D. Blas Francisco de Vega, que justifican el pago de 13,034 rs. vn. pagados á Tomas de Leito y su hija en virtud de egecutoría de los Sres. del Consejo. 21. Testimonio de la Real carta egecutoría, librada á pedime…</t>
  </si>
  <si>
    <t>…ltimo,' a consulta del Supremo Con sejo, de la Guerra, se ha servido S. M. conceder al Dr. D. Julián Sepülveda, cirujano, del primer batallón del regimiento infantería del Infante Don Antonio, la licencia absoluta con uso de uniforme de primer ayudante de ci rugía y fuero militar, que ha solicitado por hallarse inútil para continuar en el servicio, respecto á que tiene inerecida esta gracia por haber servido en planas mayores ¡antes deser nombrado…</t>
  </si>
  <si>
    <t>…s y media contra viento,y marea, que sin es-? tos obstáculos hubiera navegado cuatro millas por hora, 1 ESPAÑA. México 2 de Febrero, Parte del capitán D. Juan Qródinez al teniente coronel D. Antonio cíe , , ; Castro. , : V' v" ,,Si día y noche no hubiera sido tan vigilante el cuidado con que hasta el presénte me he conducido en este punto que vmd. tuvo á bien poner á mi cargo, podría haber tenido efecto la intriga que el enemigo había introducido ,entre…</t>
  </si>
  <si>
    <t>…stimonio público del aprecio que les? mére^ ce este establecimiento, y del esmero con que protegen las ciencias útiles. • Los examinadores nombrados por S. A. R. fueron los Srefs. D. Antonio; Gutiérrez, ayudante de caminos y canales, profesor de matemáticas de los caballeros pages de S. M. &amp;C., Dv! Joséf Rodríguez, profesor de astronomía2 del Real* museo de Ciencias naturales, y 4£&gt;. Mariano Callejo, catedrático -quéfue de matemáticasy y director…</t>
  </si>
  <si>
    <t>…Relación de las exequias celebradas por los Grandes de España en sufragio de fa Reina nuestra Señora Doña Maiíia Isabel' toE Brag&amp;ñza, y oración fúnebre que en ellas dijo el Lící D. Antonio "García Bermejo , déFConsejo de-S.? M., su capellán de honor, y predicador de número &amp;c. Se hallará á 4.rs, en la librería de Brun , fren te á las gradas de S. Felipe el Real.z=A beneficio del hospital General de esta corte, en Ja misma librería, se véndela e…</t>
  </si>
  <si>
    <t>Gaceta de Madrid n.º 92</t>
  </si>
  <si>
    <t>763</t>
  </si>
  <si>
    <t>…• • • j México ii de Febrero. Continuación de los partes de Nueva-España. VERA CRUZ. Oficio del comandante general mariscal de Campo D. Pascual de Trinan, „Excmo; Sr. :;E1 capítan D. Antonio . López Stg. Ana me pasa el parte que original tengo el honor de acompañar á V. E., por; el que se impondrá de haberse acogido á. la Real gracia deí indulto los tres cabecillas Manuel Sal vador, Félix González y Mariano Cenobio con 230 hombres montados y ar m…</t>
  </si>
  <si>
    <t>Gaceta de Madrid n.º 103</t>
  </si>
  <si>
    <t>…anila. Destinado desde Setiembre de 78 hasta Junio de 80 á los navios S, Vicente y Arrogante egecutó la salida para el $anál de la Mancha con la escuadra combinada délos generales D. Antonio de 4iteé y conde de Orbiüers. En los, jabeques. Mallorquín y Pilar hizo el corso en el Mediterráneo, siendo mayor de órdenes,defgefe de escuadra D, Antonio Barceló, en la guerra y bloqueo de Gibraltar, hallándose en varios ataques particulares dados á aquellá…</t>
  </si>
  <si>
    <t>…rnando Solís y Montoya; D Manuel Centurión , y D. Melchor Montoya; los 12 gentileshombres ae boca y casa D. Benito Pra do, el barón de Casa-Davalillos, D. Josef Navarro del Dosal, D. Antonio deOñativia, D. Antonio Solana, D. Manuel.de Almarza, D. Tomas Norza-f garay, D. Josef Pascual Oto , D. * Josef Sesé, D Josef Diez, D. Simón Ma teo Perez y D. Donato Arranz; los ocho individuos ya nombrados del Real cuerpo de monteros de Cámara ; doce caballer…</t>
  </si>
  <si>
    <t>…migaciones para purificar el aire y extinguir los miasmas contagiosos, tanto en los lazaretos de mar y tierra Como en los navios, hospitales &amp;c.: traducido y recopilado por él Df. D. Antonio. Lavedan, profesor de medicina, y cirujano de Cámara de S. M. C. &amp;c. &amp;c.: dos tomos en 4.0 Se hallarán en el despacho de la im prenta Real. EN LA IMPRENTA REAL.</t>
  </si>
  <si>
    <t>…ales d Fernando vir. . Teniente. Antonio. Naranjo. Doña Juliana Riendo, natural del Guayabal, la nobleza personal, aten-, diendo al mérito de sus dos hijos los tenientes coroneles D. Antonio y Don Felipe Ramos/ • , ; : ™ El Rey nuestro Señor se ha servido agraciar con la cruz de la Real'or den Americana de Isabel la Católica al Dr.D. Josef' Manuel’ de Escovedo' Ro dríguez de Olmedo , del Consejo de.S. &gt; su predicador,^inquisidor hono rario del tribunal de Valladoli…</t>
  </si>
  <si>
    <t>…Vaienzuela, vice-director, con un breve y elocuente discurso alusivo al caso, á que se siguió el resúmen de las tareas ael cuerpo en todo el año, recopilado ly leído por su primer secretario D. Antonio dé Jesús Vargas., en el que hizo particular mención del análisis de las aguas del baño mineral del Horcajo, si tuado en el: térihino de esta ciudad , que de orden de la sociedad han egecu-takló químicamente'y con el mayor esmero los socios D. Tomas y D. Matía…</t>
  </si>
  <si>
    <t>Gaceta de Madrid n.º 152</t>
  </si>
  <si>
    <t>…el Rey de los Paises-Bajos. En el Consejo supremo de Hacienda y sala seguim’a de Justicia, por la escribanía de Cámara al cargo del Sr. D. Andrés Mélendez, se siguen autos contra D. Antonio</t>
  </si>
  <si>
    <t>…o licitud al escribano de ayuntamiento D. Raimundo Ruiz, y su provisión se verifica rá en principio del año próximo de 1820. Se desea saber el paradero deD. Antonio Saúco, hijo de D. Antonio y Doña Feliciana Hernández, difuntos, natural de Ciudad Real, donde sentó plaza de sol dado; y á fin de enterarle sobre un asunto que le interesa se suplica al que tuviese algun^ noticia de él la comunique á D. Tomas López, presbítero de esta corte, que vive calle de Tudescos , núni. 2…</t>
  </si>
  <si>
    <t>…eterminó que por cuanto el Lie. L&gt;. Juan Velarde Corro, prebendado déla Real colegiata de esta villa, hijo de D. isidro Velardé y Doña Francisca del Corro, y hermano de D. Isidro, D. Antonio y de Doña Francisca, casada con D. Juan de la Vega Noruega, vecino del lugar de Camíjanes, y de Doña María y Doña Catalina Velarde, en su testamento que otorgó en 15 de Octubre de 1672 ante Gonzalo Cortiguera, mandó la casa que habitaba en la calle del Cantón…</t>
  </si>
  <si>
    <t>Antonio, Francisco de Paula</t>
  </si>
  <si>
    <t>Francisco de Paula Antonio</t>
  </si>
  <si>
    <t>Gaceta de Madrid n.º 67</t>
  </si>
  <si>
    <t>…imo, le participo ahora que he recibido la plausible noticia de haberse cele brado el dia 15 del pasado Abril, en la corte de Ñapóles, el.desposorio de mi amado Hermano el Infante D. Francisco de Paula Antonio con la Princesa Doña Luisa Carlota de Nápoles. Tendráse entendido en el mismo Consejo, y se comunicará á quienes corresponda. = Rubricado." Resumen de las últimas noticias sobre sanidad pública. •; EíTlas provincias literales del reino la salud pública sigue…</t>
  </si>
  <si>
    <t>Gaceta de Madrid n.º 74</t>
  </si>
  <si>
    <t>…rdó el debido y pun tual cumplimiento de esta soberana resolución en la sesión de 29 de Mayo próximo pasado, que presidió su dignísimo y augusto Protector el Sermo. Se ñor Infante D. Francisco de Paula Antonio, mandando S. A. se trasladase á todas las Sociedades económicas del reino, y que se publique ademas en la gaceta del Gobierno, á fin de que llegue á noticia- de todos; y que el público, reconocido á las bondades de S. M., aprecie como es debido las sabias me'…</t>
  </si>
  <si>
    <t>Antonio, León</t>
  </si>
  <si>
    <t>León Antonio</t>
  </si>
  <si>
    <t>Gaceta de Madrid n.º 88</t>
  </si>
  <si>
    <t>734</t>
  </si>
  <si>
    <t>…ue ascenderá á 200 ducados poco mas 6 menos. Sé admiten solicitudes hasta el dia 15 de Setiembre próximo, que podrán dirigirse al secretario del ayuntamiento de dicha villa de Rus D. León Antonio dé los Escuderos,‘porte franco. ' Discurso inaugural y, sucinta exposición de los principíos ’de economía política demostrados por Mr. Juan Bautista Say, que en el acto de- la instalación de las dos cátedras de economía y, comercio,dijo en Málaga el.dia 27 de…</t>
  </si>
  <si>
    <t>Antonio-Cuervo, Juan</t>
  </si>
  <si>
    <t>Juan Antonio-Cuervo</t>
  </si>
  <si>
    <t>Gaceta de Madrid n.º 31</t>
  </si>
  <si>
    <t>…de ellas, acuda á Ja escribañfa de numero de D. Claudio Saftz r en donde: se les en terará de las citadas, obras de necesidad » según la¿ declaración practicada por el ar quitecto D. Juan Antonio-Cuervo* . „ Por la audiencia del Sr. D„ Manuel Josef Rubio , del Consejo dé SI M.-p tenien te co regidor de esta muy heroica viUar» y escribanía del n^tnero dé .D. MlguelGon-r zafo, se ha mandado sacar á pública subasta.por término de 30 días, condados desde el día…</t>
  </si>
  <si>
    <t>AntonioPelaez</t>
  </si>
  <si>
    <t>…suerte: maza y barra de hierro al Sr. D. Antonio Ra fael Oviedo y Portal, á Ramón González Vil/armil, de la parroquia derSograndió, á Domingo Martínez, dé la de Villar de Obeyó, a D. AntonioPelaez¿ de la de BasCones , á Josef Fernandez, de la de OUoniego, á D. Geróni mo Armayor , de lá de Oviñana, á Isidro García, de la de Piñeres, y á Do mingo Amado , de S. Martin de Huerces, por haber acreditado todosiperfectamente haber fabricado muchas mas varas de…</t>
  </si>
  <si>
    <t>AntonioZambrano</t>
  </si>
  <si>
    <t>…pitanes D. Julián Matos y D. Josef Ga briel Hernández , como también el bizarro capitán comandante de las mili cias de S. Mateo D. Francisco Guarnan, y el teniente de dicho cuerpo Don AntonioZambrano. Juzgo merecedores á las gracias de V. E. á los sargentos primeros del batallón de la Reina Blas López y Pedro Bermudez, y á los segundos, que fueron heridos en la acción, Antonio Franco y Raimundo Nuñez; á los cabos primeros Francisco Seisa y Marcos Romero,…</t>
  </si>
  <si>
    <t>Aod</t>
  </si>
  <si>
    <t>…tado de la salud de S. M. Después llegaron el arzobispo de Cantorbery, él obispo dé Londres, el lord canciller , el duque de Montroe, el marques de Camben, el conde de Winchelsca, lord Aod^n, lord Saint-Helens, lord -Hénley, el conde de Madesfield y sir W. Grant,' qué son todos los individuos que componen el conse jo, excepto el arzobispo de Yorek. Los cinco médicos que asisten al Rey presentaron el informe mensual sobre el estado de su salud,…</t>
  </si>
  <si>
    <t>Aparicio, Josef</t>
  </si>
  <si>
    <t>Josef Aparicio</t>
  </si>
  <si>
    <t>…como el que representaba la muerte de Lucrecia^ pinta do por D. Josef Madrazo, un S, Fernando para la capilla defcanal por Don Zacarías Veíazquez, y diversos retratos .hechos por D. Josef Aparicio, por D. Francisco Goya, por D. Luis Cruz y Ríos, por D. Rafael Tege, joven de 20 años, discípulo de la academia, de quien eran igualmente otros dos cuadros originales; y habia&lt;también varias copias de algunas buenas obras de nuestros antiguos pintores'hechas…</t>
  </si>
  <si>
    <t>Gaceta de Madrid n.º 155</t>
  </si>
  <si>
    <t>12</t>
  </si>
  <si>
    <t>…n mas im portante, el amór patricio, y el fomento délas artes liberales y de sus profe sores acreditados. . S. M&gt; asimismo , en justa defensa de la propiedad individuat, concede á D. Josef Aparicio privilegio exclusivo para vender las estampas de su citada lámina, y prohíbe, con arreglo á las leyes vigentes, todo coritrahacimiemó dé ellas en cualesquier modo y tamaño con que se disfrace semejante exceso. \ \ El precio de la suscripción por cada estampa…</t>
  </si>
  <si>
    <t>…última prefirió los tormentos de un hambre destructora á los beneficios del usurpador, conservando intacta la fidelidad á su amado y legítimo Monarca, inspiró el diestro pincel de D. Josef Aparicio, pintor de Cámara de S. M., y académico de la de S. Fernando y de la de S. Lucas de Roma, y produjo un grandioso cuadro, que obtuvo, ademas de la aprobación augusta del Rey nuestro Señor y Sres. Infantes, los aplausos del público en lar exposición ge neral de…</t>
  </si>
  <si>
    <t>Ápodaca, Juan Ruiz de</t>
  </si>
  <si>
    <t>Juan Ruiz de Ápodaca</t>
  </si>
  <si>
    <t>…e zelo del primero y conocimientos del segundóse logró. ,, Dios guarde á V. E. muchos años. Teloloapan Junio 15 de 1818 r= Excmo. Sr. = Josef Gabriel de Armijo. = Excmo. Sr. virey D. Juan Ruiz de Ápodaca.” S. E. ha visto con sumo aprecio las ventajas de las armas de nuestro ama do Soberano que refieren los partes anteriores, y en su Real nombre ha man dado dar Jas gracias á los gefes, oficiales , tropa y paisanos que las obtuvieron Madrid i.° de Enero, En el…</t>
  </si>
  <si>
    <t>Apodaca, Juan Ruiz de</t>
  </si>
  <si>
    <t>Juan Ruiz de Apodaca</t>
  </si>
  <si>
    <t>…, y de todo su re sultado , luego que le reciba del mencionado gefe. ,¡,Diós guarde á V. E, muchos años. Xalapa Mayo 6 de i8i8.=rExcmo. Sr. = Ciríaco de Llano. =r Excmo. Sr. virey D. Juan Ruiz de Apodaca.” Parte del teniente coronel D. Ignacio Amor. ,, Ahora que son las cuatro de la tarde acabo de apoderarme con la divi sión de mi mando de los seis parapetos, plaza de armas y campamento de los enemigos, después de un vivísimo y tenaz fuego, sostenido por ello…</t>
  </si>
  <si>
    <t>…e la estación se Ies buscará hasta su exterminio total. • ,,Dios guarde á V. E. muchos años. Teloloapan Junio 22 de 1818.= Excmo, Sr. = Josef Gabriel de Armijo. = Excmo. Sr. virey D. Juan Ruiz de Apodaca.” Contestación del Exento. Sr. virey al oficio anterior del coronel D. Josef (Sabriel de Armijo. ,, Con el oficio de V. S. número 590 de 22 de Junio próximo pasado, á que contesto, he recibido las listas nominales de los indultados en ese rumbo, que suben á 4…</t>
  </si>
  <si>
    <t>…y lo restan te de la provincia no ha ocurrido novedad. ,,Dios guarde á V. E. muchos años. Valladoiid Junio io de 1818. = Excmo. Sr.= Matías. Martín y- Aguirre.= Exorno. Sr. virey D. Juan Ruiz de Apodaca.” ‘ S. E. ha mandado dar las gracias en nombre del Rey nuestro Señor á los gefes , oficiales y tropa que contribuyeron al logro de las ventajas que men ciona el oficio anterior. PROVINCIA DE . GUANAJIJATO. &gt;i; Oficio del coronel y comandante general X&gt;? Anton…</t>
  </si>
  <si>
    <t>…ite *á V * ¿E.' en cum-r piitnientp de lo mandado. ; ■ t ' / ,,Dios guarde á V. E. muchos años. Xalapa Junio 26 de 1818. = Excelentísimo Sr. = Ciriaco de Llano. = Excmo. Sr. virey D. Juan Ruiz de Apodaca.” ' . " VALL ABOLI D. Oficio del coronel y comandante general Z&gt;. Matíás, Martin y Aguzrre. „Excmo. Sr. : En esta provincia de mi cargo no haoburrido novedad en la presente semana. ,,E1 fuerte de Jaulilla se está destruyendo, y su guarnición, aumentada con ca…</t>
  </si>
  <si>
    <t>…iaciones preven!? das dél repetido gefe á quien se las he pedido. . . ,,Dios guarde á V. E. muchos años. Jalapa Agosto 7 de i8i8.=rExcmOí Sr. =Ciriaco de Llano. = Excmo. Sr. virey D. Juan Ruiz de Apodaca.” 7 , ; • Parte del coronel^,!). Josef Barradas. : c! Luego que regresé de la expedición, del Arenal, inmediatamente dirigí ®tra contra los rebebes que se hallaban acampados en el potrero de la Peña* en las faldas de los cerros de Monteverde , la cual se me f…</t>
  </si>
  <si>
    <t>Gaceta de Madrid n.º 54</t>
  </si>
  <si>
    <t>…ad de este bizarro gefe y á los oficiales que men ciona. ~ ,,Dios guarde á V. E. muchos años. Valladolid Agosto 30 de 1818.= Excmo. Sr.= Matías Martin y Aguirre. Exento. Sr. virey D. Juan Ruiz de Apodaca.” Fraga 31 de Marzo. Aperas este ayuntamiento recibió la Real carta de S. M. de 28 de Di ciembre, en que como á ciudad devoto en cortes se dignaba noticiarla la muer te de su muy amada Esposa Doña María Isabel de Braganza, ordenan do, se hiciesen 1 s honras y…</t>
  </si>
  <si>
    <t>Gaceta de Madrid n.º 56</t>
  </si>
  <si>
    <t>474</t>
  </si>
  <si>
    <t>…estará muy á la mira á fin de que lo cumplan puntualmente. i ¿Dios guarde á V-E. muchos años. Temascaltepec Setiembre 4 de i8i8.=r Excmo. Sr. =: Miguel Torres. s= Excmo. Sr. virey D. Juan Ruiz de Apodaca.” Relación que. cita el oficio anterior de los individuos que se presentaron d gozar del Real indulto en et destacamento de Tejupilco del cargo del teniente coronel X). Juan Antonio de ta Cueva* Jósef Povedano, titulado capitán; Anaeleto Povedano y Rafael Jai…</t>
  </si>
  <si>
    <t>Gaceta de Madrid n.º 58</t>
  </si>
  <si>
    <t>…va liente tropa son dignos de la alta consideración de V. E. ,, Dios guarde á V. E. muchos años. Valladoíid Noviembre 4 de 1818 = Excmo. Sr. =r Josef de Castro = Excmo. Sr. virey D. Juan Ruiz de Apodaca.” Parte del capitán JD. Josef Joaquín de la Sota* ,, En cumplimiento de la,orden de vmd* salí ayer á las iq del día con 62 infantes y 15 caballos á situarme detras de la garita vieja de los Arcos en es pera de los rebeldes que debían aproximarse por algún pun…</t>
  </si>
  <si>
    <t>Gaceta de Madrid n.º 59</t>
  </si>
  <si>
    <t>500</t>
  </si>
  <si>
    <t>…po Josef María Ambrispor su buen porte en esta vez.‘ ,,Dios guarde á V. E. muchos años. Páztcuaro Octubre 17 de i8i8.ás Excmo. Sr.= Matías, Martin y Aguirre. =z. Exorno. Sr. virey D. Juan Ruiz de Apodaca.” . . v • ■. v'-. c&gt; ^* : ’ : Idem rp. í ;.b ,;nyK ; :7 Oficio del coronel y comandante gerieral ZX Matías Maftm y Agnkre, ,, Excmo. Sr.: Después ¡de mi partenúm. 204 de 17 del prpxímo pasada, marché el 18 á Gocupao, y al acercarme adelanté dos guerrillas, qu…</t>
  </si>
  <si>
    <t>501</t>
  </si>
  <si>
    <t>501 Excmo. Sr.rr Matías Mar tinyAguirre. = Excmo.Sr.virey D. Juan Ruiz de Apodaca.” , Moral\de Calatreva gode,Abril* El dia 14 de este mes D. Juan -de Mata García Pardo, maestro de la escue la pía de la villa del Moral de Calatrava, prescrito á examen público á los niños de su escuela sobre todos los ramos pertenecientes á su rñinisterio e…</t>
  </si>
  <si>
    <t>…, ,j Lo que participo 4 Y. E. para su superior conocimiento. ,, pio!S guarde á V. E. muchos años, jalapa 25 de Noviembre de 1818.= Excmo. Sr. = Ciríaco de Llano.= Excmo. Sr. virey D. Juan Ruiz de Apodaca.” S. El ha mandado dar lás debidas graciés en nombre del Rey nuestro Se ñor ai coronel Barradas por la buena conducta militar que ha tenido en la conducción á V eracruz y su vuelta de un convoy tan crecido, y ha aprobado fes disposiciones que tomó él comandan…</t>
  </si>
  <si>
    <t>Apodaca, Juan Ruiz'de</t>
  </si>
  <si>
    <t>Juan Ruiz'de Apodaca</t>
  </si>
  <si>
    <t>…puntos de su inmédiacibn a los expresados cabecillas/ ' ,, Dios guarde :á Vi E. muchos años. Tulancingo Mayo Í28 rde ¥818. = fecroo. Sr. = Manuel de Ja Concha. = Excmo; Sr. virey D. Juan Ruiz'de Apodaca.” ,;r ; ' Parte del capitán JO. Josef Ignacio de Echar fea. v &gt; - - : &gt;&gt;:IIabiendorténido noticia "Cierta el 14 del Corriente de;que-muchás .fami lias de.¡indios- se habían separadocdél Cuyusquihui ¿ i donde hoy sé.halla-area— drigado el perverso Simón Díaz c…</t>
  </si>
  <si>
    <t>Apodaca, Rosa Gastón de</t>
  </si>
  <si>
    <t>Rosa Gastón de Apodaca</t>
  </si>
  <si>
    <t>…elar; duquesa de S. .Lorenzo; marquesa viuda de S. Román Doña Mana Guadalupe Moneada de Fernandez de Córdoba; condesa de Balazote; condesa de Torres Cabreras; condesa de Sta. Ana; Doña Rosa Gastón de Apodaca; Doña María Salazar Alvarez de Toledo, y marquesa viuda de Váidecarzana. : • ; * Grandes cruces de Id orden Americana, .• v 1 El cardenal arzobispo de Toledo; D. Josef Sebastian de Goyeneche, obis po de Arequipa; D. Baltasar Hidalgo de Cisneros; D. Carlos Urr…</t>
  </si>
  <si>
    <t>Apodaca.', Juan Ruiz de</t>
  </si>
  <si>
    <t>Juan Ruiz de Apodaca.'</t>
  </si>
  <si>
    <t>…a ciudad, y de todo daré parte á V. E. con la posible brevedad. jj Dips guarde áV.E muchos años. Valladolid Junio 17 de i8i8.=Excmo. Sr.=Matías- Maríin y Aguirre.=Excmo. Sr. virey D. Juan Ruiz de Apodaca.'*</t>
  </si>
  <si>
    <t>Apponi</t>
  </si>
  <si>
    <t>Gaceta de Madrid n.º 46</t>
  </si>
  <si>
    <t>…con licencia. Se dice que habrá algunas mudanzas en nuestro cuerpo diplomático. El príncipe de Stahremberg, ministro iresidente en Turin, irá á Florencia con el mismo carácter. El conde Apponi, ministro eft Toscana , se trasladará á Ña póles. Nuestro embajador en Ñapóles el príncipe Jablonowski pasará á Ma drid. Ei barón de Fiquelmont, nuestro ministra ea Stockol«c*&gt; reemplazará</t>
  </si>
  <si>
    <t>Arada</t>
  </si>
  <si>
    <t>…cumen- * tos ; y en consecuencia dará V. S. á todos expresivas gracias en nombre del Rey nuestro Señor por tan útiles fatigas. ,, En el mismo Real nombre de S. M. he concedido, al capitán Arada por este servicio , y los que anteriormente tiene verificados* el grado de teniente coronel. en su clase, cuyo despacho incluyo á V. S, para su curso. ,, - »Si los realistas fieles heridos.Mariano Doñas y Manuel Librero quedasen</t>
  </si>
  <si>
    <t>Aragón, Josef Vivas de</t>
  </si>
  <si>
    <t>Josef Vivas de Aragón</t>
  </si>
  <si>
    <t>…D. Manuel de Ibarra y Padilla ; D. Francisco Florez, y D. Pedro Josef Lesaca. Sumilleres supernumerarios de cortina. Al Dr. D. Martin Gil, deán de la santa iglesia de Mechoacan, y Don Josef Vivas de Aragón, canónigo de la catedral de Astorga. Honores de médicos de Cantara. A D. Josef Martínez Gil, y D. Félix Casanova. Honores de cirujanos de Cámara. \ ' ‘ A D. Josef Gil Campos \ y D. Miguel Col!. ^ * V . í . JL ■ . ’ Idem de boticarios de Cámara. A T&gt;. Josef Mi…</t>
  </si>
  <si>
    <t>Aragón, María de</t>
  </si>
  <si>
    <t>María de Aragón</t>
  </si>
  <si>
    <t>Gaceta de Madrid n.º 125</t>
  </si>
  <si>
    <t>1028</t>
  </si>
  <si>
    <t>…ioablo-decreto de 26 de Marzo del presen te año., por el que se mandaba que se fijase en la casa donde celebró sus sesio nes el Consejo del Almirantazgo, é inmediata al colegio de Doña María de Aragón. A tan benéfico decreto sucedió inmediatamente la orden para que de su Real patrimonio se aprontasen los caudales necesarios para tan vasta empresa. Correspondió el efecto á las Reales intenciones y anhelo de S. M., pues ha biéndose dado principio á remover l…</t>
  </si>
  <si>
    <t>Aragori, María de</t>
  </si>
  <si>
    <t>María de Aragori</t>
  </si>
  <si>
    <t>Gaceta de Madrid n.º 96</t>
  </si>
  <si>
    <t>…estre de. bronce de nuestro Soberano el Sr. Don Fernando vir. :, &gt;I;; o,; En las inmediaciones del Real, pglápto se acaba de Restaurar la hermosa fa chada de la iglesia-colegio de Doña María de Aragori, de orden dórico , coa dos excelentes estatuas hechas por el primer escultor de Cámara de S. M., que representan á S. Fernando y Sta. Isabel, Reina de Portugal, y remata en una cruz de piedra, decorada igualmente de -escultura de lá misma mano. Esta obra es d…</t>
  </si>
  <si>
    <t>Araktschejew'</t>
  </si>
  <si>
    <t>Gaceta de Madrid n.º 105</t>
  </si>
  <si>
    <t>…RUSIA. P'etersburgo 16 de Julio. El 9 det corriente fue el Emperador á la aldea de Grusmov. y af síguíente día visitó la colonia que ha formado* el; regimiento de granaderos del: conde Araktschejew', quedando sumamente'complacido S. M. asi del plan) de: este Util- establecimiento^ como- del buen; orden que reina én él. SUECTA.. StockoTmo jo de Julio.. Desde el martes 27 del .corriente se hallan deb vuelta en esta corte’ el Rey y el Príncipe Real. S. M.-…</t>
  </si>
  <si>
    <t>Arana, Eugenio</t>
  </si>
  <si>
    <t>Eugenio Arana</t>
  </si>
  <si>
    <t>…e Setiembre de. 18 19. ; i • El teniente general D. Pablo Morillo dice.al Sr. secretario de Estado é in terino del despacho de la Guerra lo que sigue: ,? ,,Excmo. Sr.; EL teniente coronel D. Eugenio Arana, comandante del ba tallón ligero cazadores de la ¡Reina Isabel, y de la columna volante de los llanos de Barcelona, desde el pueblo de S Andrés de Onoto:¿ con fecha de 15 de Junio próximo pasado me dice !o siguiente: ,,ExcmoSr.(*. Con fecha de i.® . de. este,…</t>
  </si>
  <si>
    <t>…a la plaza de Barcelona , el teniente •general D. .Pablo Morillo dice &amp;\ Exciho.'Sr&lt; -Secretario ¡de Estado é interino del Despacho de Ja Guerra ló que sigue :&gt; , r, „ E1 teniente coronel D. Eugenio Arana, comandante del batallón ligero cazadores deja Reina Isabel y de la columna de los llanos de Barcelona, desde el pueblo de Piritu ¿ con fecha de 23 de Julio próximo pasado, me dice lo siguiente: ,, Excmo. Se.: Acaba de-llegar;ílapartidade 30 caballos que manr…</t>
  </si>
  <si>
    <t>Arana, Gregorio de</t>
  </si>
  <si>
    <t>Gregorio de Arana</t>
  </si>
  <si>
    <t>6 i.® Del teniente coronel D. Gregorio de Arana. ,4 Al rayar el dia me dio parte el vigía de la torre que por las Inmedia ciones de la villa andaban cosa de 20 rebeldes con bastante confianza: creyen do no con poco fundamento que debían tener alguna emboscada ó embosca das , por ser la clase de guerra que…</t>
  </si>
  <si>
    <t>Arana, Manuel</t>
  </si>
  <si>
    <t>Manuel Arana</t>
  </si>
  <si>
    <t>…va-España D. Josef García Jove, y de dragones de. Mon eada D. Antonio Badilio, y los alféreces de este cuerpo D. Antonio Gelati, que me ha servido de ayudante,, y el de. mi cuerpo D. Manuel Arana,, todos .los que se han distinguido. _ . ,, Dios guarde á V- S. muchos años. Val lado lid Junio 22 de 1818.== Vi cente Lara^ Sr. coronel y comandante general D. Matías Martin y Aguirre.’51 , fiíadrid 4 de Enero.. Por el reglamento de los correos marítimos est…</t>
  </si>
  <si>
    <t>Arana, Nicolás</t>
  </si>
  <si>
    <t>Nicolás Arana</t>
  </si>
  <si>
    <t>…estro Señor-se ha dignado nombrar para la pía* .z&amp; de oidor .de la-Real audiencia dé Charcas , vacante; por .promoción de Don Francisco Xavier Manzanos á regente de la de Quito, á D. Nicolás Arana jCalbache: parada plaza de oidor de la Real audiencia de México, vacante por traslación de D. Miguel Ramón Modet, i D. Juan Josef Recacho: para Ja fiscalía del crimen de .la Real, audiencia.de Quito, vacante por ascenso de D. Vicente Rodríguez Romano á -la.-d…</t>
  </si>
  <si>
    <t>Arango, Josef</t>
  </si>
  <si>
    <t>Josef Arango</t>
  </si>
  <si>
    <t>…puesto el.Coftsejp supre mo de la Guerra con motivo de haber , solicitado Joaquín Arango , vecino-de lá villa de Pravia, en el principado de Asturias*, pensión como padre pobre de,D. Josef Arango, ayudante mayor que fue del regimiento de infantería de Extremadura, y 'murió en Nueva-España dé-resultas de heridas recibidas en* aceron de huerra contra los insurgentes; y deseando manifestar á la digna cli se de oficiales del egército que han peleado y pel…</t>
  </si>
  <si>
    <t>Árango, Josef</t>
  </si>
  <si>
    <t>Josef Árango</t>
  </si>
  <si>
    <t>1203</t>
  </si>
  <si>
    <t>…isario ordenador, é inspector del Real hospital mi litar de la Havana; á D. Domingo Quii^ero, ministro interventor jubilado de Reales obras de fortificación de la misma plaza, y á D. Josef Árango , tesorerq de egé.FCÍto jubilado de la propia. Asimismo ha tenido á bien conceder Jos honores de oficial Real de Améri ca á D. Francisco Josef Odio, administrador de los ramos de propios de San tiago de Cuba; á D. Antonio Rafael Betancourt,,administrador de r…</t>
  </si>
  <si>
    <t>Aratíafill, Andrés Fernándézideó la</t>
  </si>
  <si>
    <t>Andrés Fernándézideó la Aratíafill</t>
  </si>
  <si>
    <t>…ntísimo Sr. virey^ .y v cHbt. ,,Excmo. Sr.;t EL (téniénte &lt; coronel: &lt;D.qfaaa¿¡ de Ateaga en oficio de 29 de -Diciembre ú Iti mome Temí té :el isigr^enfb-parteque leí ha-pasado el capitán D. Andrés Fernándézideó la Aratíafill .loipjq h r?y¡;c; ai ; ¿ ‘ . ' i :’ „Eí ic* del actual1, en cumplimiento ¡djerfrrquevmd. tuvo ábienordesarme, emprendí mi. marcha para ¿esté: pueblo ^reuniendo en el tránsito tés piquetes del .de Jalacingo , Altotonga y Atzalan;, iiabiendo llegado al siguien…</t>
  </si>
  <si>
    <t>Araujo, Joaquín</t>
  </si>
  <si>
    <t>Joaquín Araujo</t>
  </si>
  <si>
    <t>…, como manifiesta en su adjunto parte núm. r, que original acompaño, por el cual se impondrá V. S. mas por extenso. ,,E1 resultado de esta feliz expedición después del regreso del teniente D. Joaquín Araujo ha sido el no haber quedado ni un solo rebelde en todo este distrito de mi cargo, habiéndoles tomado 49 fusiles (pues no quisieron de clarar el parage donde hablan enterrado los demas los autores del hecho, ni aun en el momento de morir); 500 cartuchos de fus…</t>
  </si>
  <si>
    <t>Araujo, Luis de Mata y</t>
  </si>
  <si>
    <t>Luis de Mata y Araujo</t>
  </si>
  <si>
    <t>…, ó método sencillo de enseñar la lengua castellana por los principios generales de la filosofía común de las lenguas, arreglado también á la latina para facilitar su estudio, por D. Luis de Mata y Araujo, catedrá tico de latinidad, retórica y poética de los caballeros pages de S. M., individuo y examinador de la Real academia latina: segunda edición, puesta en diálogo. — Ele mentos de retórica y poética, extractados de los aurores de mejor nota por D. Luís de…</t>
  </si>
  <si>
    <t>Araujo, Lyis de Mata y</t>
  </si>
  <si>
    <t>Lyis de Mata y Araujo</t>
  </si>
  <si>
    <t>1296</t>
  </si>
  <si>
    <t>…, dispuesto sobre el que compuso en lengua portuguesa el R. P. Fr. Die go de Mello y Meneses, profesor regio de lengua latina en Lisboa, variado y au mentado considerablemente por D. Lyis de Mata y Araujo, catedrático de, latinidad, retórica y poética de los caballeros pages de. S. M., individuo y examinador, de la Real academia latina; cuarta edición. Se hallará, en la librería de Bailo, calle de las Catretas.' , . ..." # „, - ; Los suscriptó'res al periódico…</t>
  </si>
  <si>
    <t>Arbizu, Manuel Josef de</t>
  </si>
  <si>
    <t>Manuel Josef de Arbizu</t>
  </si>
  <si>
    <t>…Juan Valle de Medrano y Doña Manuela de Osma su muger, sobre sus bienes y rentas, fecha en esta corte á 21 de Junió dé 1617 ante el escribano Francisco Testa. Por providencia del Sr. D. Manuel Josef de Arbizu; del Consejó de S. M., ai- . calde en su Real Casa y Corte, se convoca á junta general.á los acreedores dél pri mer concurso del difunto señor marques dé Salas el domingo 28 del corriente, á las nueve en punto de su. mañana, en su posada.calle del Desengaño,…</t>
  </si>
  <si>
    <t>…cía de la Madrid; bajo, apercibí^ miento que si n@ lo hicieren se celebrará en su ausencia ^ y les parará entero perjui-/ ció lo que acordaren los concurrentes. Por el juzgado del Sr. D. Manuel Josef de Arbizu » del Consejo de S. M., al caide de su Real Casa y Corte, se están subastando para pago de un acreedor tres pedazos de tierra y úna era en término de la villa de Hortaleza; á saber* una a! si tio del valle de la Huerta, de caber tres fanegas, tasada éii 600 r…</t>
  </si>
  <si>
    <t>…la otra en la misma calle de S. Ildefonso, frente á la anterior, número 24 de la manzana 23, tasada en 55,784 rs., que ambas se remataron en 1 r del corriente •por el juzgado del Sr. D. Manuel Josef de Arbizu, del Consejo de S. M., alcalde de su Real Casa y Corte, en la cantidad de 363$) rs. á dinero metálico, con cali dad de rebajarse sus cargas, que ascenderán al poco mas ó menos á 165© rs,, se han mandado publicar por tres dias por decreto de los señores del Co…</t>
  </si>
  <si>
    <t>…término ante, dicho señor, y por la escribanía def nominado Pozoi,'donde se admitirá la que fuese siendo arreglada en dinero sa nante, y no en otra especie.. ^ Por el, jyzgádo del Sr. D. Manuel Josef de Arbizu, del Consejo de S. M., se sú.basta un solar con lo en él fabricado,, situado en la calle de la Libertad de esta corte ..entre los números 5 y 3.de la manz. go6, comprensivo de 8436 pies de sitio, tasado en.112,480 rs , y para su remate.esta'señalado él 19 de'…</t>
  </si>
  <si>
    <t>Arechavala, Miguel de</t>
  </si>
  <si>
    <t>Miguel de Arechavala</t>
  </si>
  <si>
    <t>…sef Diez, D. Simón Ma teo Perez y D. Donato Arranz; los ocho individuos ya nombrados del Real cuerpo de monteros de Cámara ; doce caballeros pages de S. M., acompaña dos de su ayo D. Miguel de Arechavala y dos directores; los alcaldes de la Real Gasa y Corte D. Andrés Oller y D. Joaquín Almazan , con los alguaci les y ministros de justicia, y 48 religiosos, t2 de cada una de las cuatro ór denes de Sto. Domingo, S. Francisco, Agustinos y Carmelitas calzados. C…</t>
  </si>
  <si>
    <t>Arel, Celestino</t>
  </si>
  <si>
    <t>Celestino Arel</t>
  </si>
  <si>
    <t>…ute y á D. Josef Mendoza, que fueron los que mas sobresalieron. Lósl 20 menores restantes á D. Francisco Molina, al guardia de la Real Pérsona Di Jo sef V idaurre, D. Rafael Rico, D. Celestino Arel lañó, D. Josef Jiménez, Don Juan Pedro Isr.si, D. Miguel Infante, D. Josef Aguirre, D&gt; Alonso Reina; D Josef Garci, D. Ramón Porta, D. Francisco Marín, D. Manuel Capace te , D. Josef Morales , D. Matías Michana, D. Gregorio de Casadevals, Don Miguel Fassia, D…</t>
  </si>
  <si>
    <t>Areliano, Domingo Ramírez de</t>
  </si>
  <si>
    <t>Domingo Ramírez de Areliano</t>
  </si>
  <si>
    <t>…dia 27 de Febrero tuvieron la honra de presentarse á S. M. y AA. el Excmo. Sr,. D. Fernando Queipo de Llano, ei marques de Casa-Madrid, gentileshombres de Cámara con egercicio, y D. Domingo Ramírez de Areliano (que lo/es con entrada), caballeros maestrantés de la Real de Ronda, quie nes' á; nombre de este Real cuerpo dieron á S. Mi. y AA. el mas sentido pésa me 'por el fallecimiento de la Reina nuestra Señora y el de los Reyes Padres. S. M. lo oyó con su acostumbra…</t>
  </si>
  <si>
    <t>Arellano, Antonio Ramírez de</t>
  </si>
  <si>
    <t>Antonio Ramírez de Arellano</t>
  </si>
  <si>
    <t>…ceremonias, D. Blas-Prats, D. Domingo María Tordera, D. Antonio Bermejo, D. Tibureio Saez, D. Leandro Alvarez, D. Luis Ramírez Mon sal ve, D. Agustín de la Rica * D. Julián Arrea, D. Antonio Ramírez de Arellano y D. Pedro Gil; después de haber cantado nuevamente solemnes responsos la Real capilla, presidida por el limo Prelado, á la una y media principió la marcha de la Real comitiva, que abrían los timbales enlutados y clarines con sordinas de Ja Real caballeriza por en medio de…</t>
  </si>
  <si>
    <t>Arellano, Vicente Rodríguez de</t>
  </si>
  <si>
    <t>Vicente Rodríguez de Arellano</t>
  </si>
  <si>
    <t>…ca en tres li bros, con una breve apología del cristiano celibato; un tomo en 8.® Se hallarán en la librería y almacén de papel de Ortega, calle de las Carretas. Poesías varias de D. Vicente Rodríguez de Arellano. Esta obrita, que con pro piedad debe tenerse por un ensayo del genio poético de su autor, suministra ideas nada equívocas de quje entre los literatos modernos, alumnos de las musas» podía contarse por de no menos mérito que los mas celebrados en este siglo:…</t>
  </si>
  <si>
    <t>Aretin</t>
  </si>
  <si>
    <t>Gaceta de Madrid n.º 133</t>
  </si>
  <si>
    <t>…ctubre. ' J ..... : " En la sesión de 20 de Noviembre ültimo nombró la Dieta Germánica una comisión , compuesta del conde de Buol-Schauenstein, los S'resv Martens: y Le pé I, y el barón Aretin,para que propongan un plan á fin de fijar por un con venio amistoso los derechos y condición política de los católicos en el impe* rio germánico. •' i. Idem ¿. No se sabe todavía quiénes son los siete sugetos que deben- componer la comisión central que vá á e…</t>
  </si>
  <si>
    <t>Argel, Casimiro-Vígodetde</t>
  </si>
  <si>
    <t>Casimiro-Vígodetde Argel</t>
  </si>
  <si>
    <t>Gaceta de Madrid n.º 100</t>
  </si>
  <si>
    <t>827</t>
  </si>
  <si>
    <t>…o y alquitrán, 30 ídem. ....' 8.° Bergantin Semíjamis , patron . Estéban. C^oca, ruso, del golfo de Volo, con trigo, ,30 ídem. 9-° Corbeta de-S. M. Fama, patrón capitán de fragata D. Casimiro-Vígodetde Argel, 40 idem - ’ - 1 o. Bergantín Verid toados, patrón Juan ¡María Luis:, flapolitauo &gt; de CIyitavecliía,; con maíz.y dos cajas de cantáridas, &amp;idépy*/,i &lt; , 1 :.u</t>
  </si>
  <si>
    <t>Argemir, Olegario</t>
  </si>
  <si>
    <t>Olegario Argemir</t>
  </si>
  <si>
    <t>…e D. Tomas María Manrique, se lia cumplimentado un despacho emplazatorio del Excmo. Sr. capitán general de la ciudad de Barcelona y principado de Ca taluña, librado á instancia de D. Olegario Argemir, vecino de la misma ciudad, pai ra que en el, término de nueve dias comparezca á su juzgado Dona Vicenta More no, residente en esta córte; y habiéndose practicado varias diligencias en su busca, de las que resulta no saberse su fijo paradero ni habitación, se…</t>
  </si>
  <si>
    <t>Argués, Juan Bautista</t>
  </si>
  <si>
    <t>Juan Bautista Argués</t>
  </si>
  <si>
    <t>Gaceta de Madrid n.º 128</t>
  </si>
  <si>
    <t>…’D» Mariano Herrando; en Alicante en la de D. Francisco Sarget; en-Cartagena en/la dcXDr. D. Juan Josef Franco;.en Orihuela en la, de D^Jósef Salón; en Tarragona; en ia-,dei . Dr. D. Juan Bautista Argués; • e,n Lérid 1 en 1a ide T¡&gt;:.'¡Antoíiip, Férrerí;. enjCervera. en la de D, .Josef Vicente. .Soler;en Gerona en la deí Dr. D. Narciso Viñas.; en Bilbao en la del fie. D. Juan Antonio de Ugaldey y en3^itoria en_la dejDr D. Cipriano María de Uribarri. _ .......…</t>
  </si>
  <si>
    <t>Arias, Antonio Sandalia de</t>
  </si>
  <si>
    <t>Antonio Sandalia de Arias</t>
  </si>
  <si>
    <t>Gaceta de Madrid n.º 85</t>
  </si>
  <si>
    <t>…continuación del Almacén de frutos litera rios , con el cual se completa ei tomo 8.® Comprende este, los tres, discursos pronun ciados en los meses de Febrero de 1817, 18 y 19 por D. Antonio Sandalia de Arias* en ia apertura del curso de agricultura del Real jardín Botánico de esta corte : 1# verdad desnuda, avisos dados alISr, Rey D. Fernando vi; memoria sobre las sustan cias vegetales que pueden servir para hacer pan, por D. Esteban Boutelou; noticia historial d…</t>
  </si>
  <si>
    <t>Arias, Antonio Sandalio de</t>
  </si>
  <si>
    <t>Antonio Sandalio de Arias</t>
  </si>
  <si>
    <t>…esada junta; aper cibidos que de no hacerlo les. parará el perjuicio que haya lugar. Lecciones de agricultura explicadas en la cátedra del Real jardín Botánico de Ma drid , por el profesor D. Antonio Sandalio de Arias: segunda edición corregida y con siderablemente aumentada por su autor. Ha merecido esta obra tan grande aprecio al público, que en brevísimo tiempo se han acabado todos los egemplares de ía edición, primera. Lleno su autor de satisfacción al ver de esta mane…</t>
  </si>
  <si>
    <t>…a utilidad de uniformar el métodp de enseñanza de la agricultura para el adelantamiento de -tan importante ciencia, y al mérito reconocido por ese cuerpo patriótico de rla obra de D. Antonio Sandalio de Arias intitulada Lecciones de Agricultura, ha tenido por conveniente S. M. resolver que se recomiende á todas las So ciedades del reino á cuyo cargo existan cátedras de la indicada ciencia , que se tóme dicha obra elemental por texto de la enseñanza, mientras adela…</t>
  </si>
  <si>
    <t>Ariás, Benito</t>
  </si>
  <si>
    <t>Benito Ariás</t>
  </si>
  <si>
    <t>…superficie 5121 pies ■cdh siete, octavos: tasado en 51,219 rs. vn. Para su re mate está señalado el dia 30 de este tiies, ’ a las* íi y mediare su mañana , en la po^ sada .deliSr. D. Benito Ariás dePrada,deI Godsejó de ¡S. M* pn «Lsuprétnoide Cas-’ tilla, juez interventor en virtud de Real &lt;órdeir de&gt;la Excma.c Sra..duquesa-de Al** ge te , marquesa viuda de Alcañices* el que la tiene en la plazuela de las Descalzas Reales, casa titulada de Villena; cu…</t>
  </si>
  <si>
    <t>Arias, Nicolás</t>
  </si>
  <si>
    <t>Nicolás Arias</t>
  </si>
  <si>
    <t>…ia entre los opositores^ envista de las censuras respectivas, adjudicó los dos premios de reglamento^ de dos medallas de plata, el primero á D. Francisco Orsolino,' y el segundo á D. Nicolás Arias, declarando el accessit en iguales,términos á D. Antonio Fernandez Alvarez, todos tres naturales dé Madrid, acordando que se expre sase en la gaceta e] mérito de los demas .opositores ; é intnediatámente el Ex celentísimo Sr. director entregó las medallas á l…</t>
  </si>
  <si>
    <t>Arias, Tomas Martín</t>
  </si>
  <si>
    <t>Tomas Martín Arias</t>
  </si>
  <si>
    <t>…es se suplica á quien sepa su existencia ó muerte la comunique, en Madrid á D. Esteban Castillo y Larroy, calle de Embajadores, núm. ó; y en dicho lugar de Casas de Millan al Lie. D. Tomas Martín Arias, abogado dé los Reales Consejos. Nuevo epítome de gramática castellana, ó método sencillo de enseñar la lengua castellana por los principios generales de la filosofía común de las lenguas, arreglado también á la latina para facilitar su estudio, por D. Luis d…</t>
  </si>
  <si>
    <t>Arismendi, Fernando Montero Pueyo y</t>
  </si>
  <si>
    <t>Fernando Montero Pueyo y Arismendi</t>
  </si>
  <si>
    <t>…el presente mes á las i 2 y media en la au diencia del mismo señor. ; HC&gt;. Anselmo Montero, vecino de Huermeces, de la provincia y arzobispado dq Burgos, desea poner en noticia de D. Fernando Montero Pueyo y Arismendi, hijo de D. Narciso Montero. Rodriguez de Ubierna, y de Doña María Ventura Pueyo y Arismendi, contador que fue en Válencia, y en 1793 se halaba de alcalde mayor en Totepango, en Nueva-España y reino de México, que habiendo fallecido en dicho pueblo de Huermec…</t>
  </si>
  <si>
    <t>Arismendi, María Ventura Pueyo y</t>
  </si>
  <si>
    <t>María Ventura Pueyo y Arismendi</t>
  </si>
  <si>
    <t>…cino de Huermeces, de la provincia y arzobispado dq Burgos, desea poner en noticia de D. Fernando Montero Pueyo y Arismendi, hijo de D. Narciso Montero. Rodriguez de Ubierna, y de Doña María Ventura Pueyo y Arismendi, contador que fue en Válencia, y en 1793 se halaba de alcalde mayor en Totepango, en Nueva-España y reino de México, que habiendo fallecido en dicho pueblo de Huermeces Doña Florentina Rodriguez de Ubierna sin ascendientes, se irá trasmitido y derivado en él…</t>
  </si>
  <si>
    <t>Arispe, Pablo de</t>
  </si>
  <si>
    <t>Pablo de Arispe</t>
  </si>
  <si>
    <t>…blos.0 A nombre de la ciudad de Sto. Domingo de la Calzada se presentaron también en Vitoria á S. M. la Reina nuestra Señora D. Francisco Campuzano y el corregidor de dicha ciudad D. Pablo de Arispe;y el primero dijo el discurso siguiente: . Señora: ,,La ciudad de Sto. Domingo de la Calzada tiene el? honor de tributar á V. M. sus mas humildes y rendidos respetos. La afabilidad, talento y demas dotes que constituyen el carácter de V. M. nos hacen concebir…</t>
  </si>
  <si>
    <t>Arístizabal</t>
  </si>
  <si>
    <t>…en las críticas circunstancias de iá guer ra á los puertos de la isla de Cuba y de Barlovento; en haber hecho uña présa de pertrechos navales con los cuales equipó la escuadra del general Arístizabal, que por la imposibilidad de remitírselos de Europa tenia los buques en mala disposición navegable; en la propuesta que hizo á S. M. en el año de 79. deí establecimiento de conductores eléctricos; en la del uso de la perneria- y cla vazón de cobre en la parte…</t>
  </si>
  <si>
    <t>Aristizabal, Gabriel</t>
  </si>
  <si>
    <t>Gabriel Aristizabal</t>
  </si>
  <si>
    <t>…con la cual pasó á Nápoles y Liorna. Promovido á capitán de navio en el año de 93 , le confirió S. M. el mando del S. Ramón, perteneciente á la expedición que dirigió el teniente general D. Gabriel Aristizabal contra las An tillas, destinándolo al bloqueo de la bahía de Bayajá y Barico, entrando con increíble arrojo en aquella bahía, donde nunca lo iiabia hécho ningún navio de línea, y haciendo el importante biien servicio de atacar, Batir y háceir ca pitular á la…</t>
  </si>
  <si>
    <t>Arizmendi, Nicolás María</t>
  </si>
  <si>
    <t>Nicolás María Arizmendi</t>
  </si>
  <si>
    <t>…ría Segura, escribano de cámara, y secretario del Real Acuerdo de la chancillería de,Granada; Don Luis Lujan y Monroy, subdelegado de pósitos del partido de Arenas-dé-San Pedro, y D. Nicolás María Arizmendi, comisario de Marina graduado. C Ó R'R E.G I D O R ES. De Guipúzcoa. A D. Martin Xavier Muzquiz, oidor del Consejo de Navarra. ' - ' ; De XJtiel. * A D. Francisco Manes. , ' . , ■ De Vivero. ' &gt; A D¿ Nicolás Bartolomé Alvarez Pardo. u . • ^ r De Carrion de lo…</t>
  </si>
  <si>
    <t>Arjona, Josef Manuel de</t>
  </si>
  <si>
    <t>Josef Manuel de Arjona</t>
  </si>
  <si>
    <t>…tos que lo califiquen por medio de procura dor con poder bastante; con apercibimiento que de no hacerlo les parará el perjui-" ció que haya lugar. ^ . En virtud de providencia del Sr. D. Josef Manuel de Arjona, del Consejo de S. M. en el supremo de la Guerra ^corregidor «de esta muy heroica villa Scc., á vir tud de despacho requisitorio del Sr. D. Vicente Tormo y Pont, del Consejo de S. M«, su "alcalde del crimen honorario de la Real chancíllería de la ciudad de Gr…</t>
  </si>
  <si>
    <t>Gaceta de Madrid n.º 114 (extraordinaria)</t>
  </si>
  <si>
    <t>…guerra de los Reales egércitos , y D. Santiago López Regañón, teniente de fragata de la Real armada, individuos de la diputación general de los reinos, en representación de esta; D. Josef Manuel de Arjona, corregidor de la muy heroica villa de Madrid, del Consejo de S. M., y su ministro togado en el supremo de la Guerra; D. Pedro Dávalos Sta. María, regidor perpetuo de la propia muy heroica villa, mariscal de campo de los Reales egércitos, y caba llero gran cr…</t>
  </si>
  <si>
    <t>…litar de S. Fernando. ; '• CT .. A los ¿tenientes generales. D. Felipe Saint-Marck, y D; Francisco Xavier Abadía. / ' ‘ : &gt; . ■&gt; • ; ;Honores de la Cámara de Guerra. ' ¿v - .i r A D. Josef Manuel de Arjona, ministro del Consejo supremo dé la&gt;Gudrra, y corregidor de Madrid. ' ... .j. j; , Honores de ministros del Consejo supremo de la Guerras ,1..: A'D. Mañanó Blas Garoz y Peñalver , ¡oficial segundor primero- jubilado deja-secretaría dé Estado y del Despacho Un…</t>
  </si>
  <si>
    <t>Arjoña, Manuel María de</t>
  </si>
  <si>
    <t>Manuel María de Arjoña</t>
  </si>
  <si>
    <t>…Elogio latino-dé la Reina nuestra Señora Doña Marta Isabel de Braqanza y _ dé Bqrbon Cquecnt paz descanse),:que leyó á la Real academia latina en la sesión ^ de 17.de Enero el‘Dr. D. Manuel María de Arjoña, Canónigo penitenciario de Ja _ santadglesiA catedral de(Córdoba, y secretario:d§ literatura de d?ph? academia. Acom^ paña; .al texto láriqo la ti^auccipp cástellana hecha^pór el mi^mo autqr , impuso por acuerdo dp la rnism^ Réaí academia, con. licencia de S.…</t>
  </si>
  <si>
    <t>Armijo, Jojcf Qrahriel de</t>
  </si>
  <si>
    <t>Jojcf Qrahriel de Armijo</t>
  </si>
  <si>
    <t>124</t>
  </si>
  <si>
    <t>…an Mayo 2,3 ele i8i8.=Jo$ef Ignacio de Echartea. =Sr. coronel y comandante general D. Manuel de la Concha.” ídem 11 de Julio. x ; 1 ¡RUMBO DEL SUR, Oficio del coronel y comandante general D. Jojcf Qrahriel de Armijo, ,,Excmo. Sr.; Paso á las superiores manos de V‘. E. las listas nominales que comprenden 4371 individuos presentados i disfrutar la Real gracia de indulto en la Tierra caliente, cuyos documentos no había antes dirigido á esa superioridad en espera de lós de A…</t>
  </si>
  <si>
    <t>Armijo, Josef Gabriel de</t>
  </si>
  <si>
    <t>Josef Gabriel de Armijo</t>
  </si>
  <si>
    <t>7 3** Del coronel y comandante general del rumbo del Sur D. Josef Gabriel de Armijo. ,,Excmo. Sr.: El teniente coronel D. Juan Isidro de Marrón, coman dante de las tropas que operan de Cuaulotitlan á S. Juan Huetamo, me dice en oficio de 9 del presente que una partida de 60 dragones, que puso á las órdenes del teniente coronel graduado de re…</t>
  </si>
  <si>
    <t>…hete , una lanza y 10 caballos, los 7 ensillados. ,, El 24 salí de Páztcuaro con objeto de perseguir las gavillas de rebeldes del rumbo de Turicato, ponerme en comunicación con el coronel D. Josef Gabriel de Armijo , y comandante de Huetamo teniente coronel D. Juan Marrón, y extraer algún ganado para ayuda del, pago de la tropa. El ifi lie-? gué al citado pueblo, y en sus i n mediad oríes aprehendió una partida de mi caballería que mandaba el capitán graduado Üe mi cuer…</t>
  </si>
  <si>
    <t>Arnedo, Francisco Xavier de</t>
  </si>
  <si>
    <t>Francisco Xavier de Arnedo</t>
  </si>
  <si>
    <t>…sta muy heroica villa, refrendada de D. Anselmo Ordoñez, escribano de su número, se cita, llama y emplaza por térmi no de 15 dias, contados desde la publicación de este anuncio, á D. Francisco Xavier de Arnedo, vecino de ia villa de Yanguas, y cuyo paradero se ignora, para que den tro de él comparezca por sí ó por medio de procurador, con poder bastante, ante dicho señor y citada escribanía á responder al traslado que le está comunicado de la demanda puesta por Doñ…</t>
  </si>
  <si>
    <t>Arraenteros, Anastasio Francisco de</t>
  </si>
  <si>
    <t>Anastasio Francisco de Arraenteros</t>
  </si>
  <si>
    <t>…aría Montenegro y Carantoña, coronel del regi miento provincial de Orense; D. Josef de Cafranga, oficial mayor menos an tiguo de la secretaría del Despacho de Gracia y Justicia, y D. Anastasio Francisco de Arraenteros, brigadier de los Reales egércitos. Mayordomos de Semana. A D. Joaquín Montenegro; D Santiago Mendez de Vigo; D. Manuel de Rosales; D. Indalecio de la Torre; conde de Zanoni, y D. Luis Nieulant y Altamirano. Honores de secretarios del Rey. A D. Josef de la To…</t>
  </si>
  <si>
    <t>Arranz, Donato</t>
  </si>
  <si>
    <t>Donato Arranz</t>
  </si>
  <si>
    <t>…ro del Dosal, D. Antonio deOñativia, D. Antonio Solana, D. Manuel.de Almarza, D. Tomas Norza-f garay, D. Josef Pascual Oto , D. * Josef Sesé, D Josef Diez, D. Simón Ma teo Perez y D. Donato Arranz; los ocho individuos ya nombrados del Real cuerpo de monteros de Cámara ; doce caballeros pages de S. M., acompaña dos de su ayo D. Miguel de Arechavala y dos directores; los alcaldes de la Real Gasa y Corte D. Andrés Oller y D. Joaquín Almazan , con los algu…</t>
  </si>
  <si>
    <t>Arrea, Julián</t>
  </si>
  <si>
    <t>Julián Arrea</t>
  </si>
  <si>
    <t>…as de maestro de ceremonias, D. Blas-Prats, D. Domingo María Tordera, D. Antonio Bermejo, D. Tibureio Saez, D. Leandro Alvarez, D. Luis Ramírez Mon sal ve, D. Agustín de la Rica * D. Julián Arrea, D. Antonio Ramírez de Arellano y D. Pedro Gil; después de haber cantado nuevamente solemnes responsos la Real capilla, presidida por el limo Prelado, á la una y media principió la marcha de la Real comitiva, que abrían los timbales enlutados y clarines con s…</t>
  </si>
  <si>
    <t>Arriaza, Juan Bautista de</t>
  </si>
  <si>
    <t>Juan Bautista de Arriaza</t>
  </si>
  <si>
    <t>Gaceta de Madrid n.º 32</t>
  </si>
  <si>
    <t>…lecimien to de música puesto bajo la protección de la Real sociedad económica matritense. Se hallará en el despacho de dicho establecimiento, /calle del Turco, á 120 rs. Versos de D. Juan Bautista de Arriaza en ocasión de la muerte de la Reina nuestra Señora, reunidos para mayor comodidad y con anuencia del autor por D. P. S. de la P¿ Este cuadernito, qué ofrece la ventaja de presentar juntas composiciones de igual estilo y gustó, se hallará á 2 rs. éh las librer…</t>
  </si>
  <si>
    <t>…escudo de armas de la villa de Madrid. * En Iá plazuela de la Villa se veia unas hermosa glorieta de rainage y fio. , . . :\.: (i) Todas las inscripciones fueron compuestas por el Sr. D. Juan Bautista de Arriaza, mayordomo de semana de S. M.</t>
  </si>
  <si>
    <t>Arrimada, Miguel</t>
  </si>
  <si>
    <t>Miguel Arrimada</t>
  </si>
  <si>
    <t>…eo, D. Antonio Medina y D. Ramón Martínez. En la segunda D* Ignacio Várela , D. MañuefRodríguez Campo , D; Manuel-García, D. Pedro Ochoa, D. Francisco Herrera, D. Joaquín Meana .y D. Miguel Arrimada. En la tercera D. Josef Gutiérrezp. Carlos Santo,- D. Sebastián Romero, D. Antonio Medinilla, D. Juan Meáha y D. Francisco Bragne. En la cuarta y última D. Federico Rodríguez Campo, D. Josef Maurelles, P. Sebastian Ximenez, D. Josef Alvarez, D. Bernardíno Mar…</t>
  </si>
  <si>
    <t>Arroquia, Pedro Antonio</t>
  </si>
  <si>
    <t>Pedro Antonio Arroquia</t>
  </si>
  <si>
    <t>…deán y canónigo de la santa iglesia" catedral de Barcelona, y sumiller de Cortina. PLAZAS EFECTIVAS DE LOS TRIBUNALES DEL REltfÓ. Oidores de la Real chancillería de Valladolid. A D. Pedro Antonio Arroquia, oidor de la audiencia de Galicia; D. Ra món María Moya, ministro honorario del Consejo Real de Navarra. Alcalde del Crimen de Granada. A D. Josef Francisco Morejon de León. fiscal del Crimen, de la misma. A D. Gaspar Josef de Aguilar, abogado de dicho tribun…</t>
  </si>
  <si>
    <t>Artacho, Julián de</t>
  </si>
  <si>
    <t>Julián de Artacho</t>
  </si>
  <si>
    <t>789</t>
  </si>
  <si>
    <t>…quieran hacer se con arreglo á. las condiciones que se manifestarán, y bajo'Jas', cuales se ha. de practicar el expresado último remate. * V' ' El lavadero de S- Garlos, propio de D. Julián de Artacho, vecino de Se— pÚlveda, que se halla inmediato al pueblo de Aldealápeña, ún cuarto de le gua de la venta de Juanilla, por dondepasa el camino real desde Ja corte á Btírgos y su carrera, se ha puerto.corriente para este año;; habiéndose layada yú algunas lanas…</t>
  </si>
  <si>
    <t>Arteche, Josef García</t>
  </si>
  <si>
    <t>Josef García Arteche</t>
  </si>
  <si>
    <t>…mañana del 30 el propio cuerpo municipal distribuyó solem■ neníente los premios en las casas consistoriales por mano del regidor y secre sta río de dicho establecimiento académico D. Josef García Arteche , y per el orden de las respectivas censurasj á saber: en la clase de gramática latina li bros facultativos á D. Manuel Martinez, D. Servando Aíarañon, D. Cristó bal Rubio, D. Celso PJanzon ,SD. Fernando Perez de Rozas y Campuzano y D. Domingo Díaz: en la de…</t>
  </si>
  <si>
    <t>Artiñano, Vicente de</t>
  </si>
  <si>
    <t>Vicente de Artiñano</t>
  </si>
  <si>
    <t>…Lejarcegui: eríja de matemáticas D. Alejandro de Bengoechea D. Josef Aquilino de Acha y D-Felipe de Equileor. Dignos deaccésit.: en h clase de la lengua francesa D. Juan de Garro, D. Vicente de Artiñano . y D. Francisco de Aldama: en la-de matemáticas D. Apolinar de Gardiasabai y D. Saturnino de Ochoa. . El numeroso concurso qué asistió á esta primer prueba que dieron de su aplicación y aprovechamiento los alumnos de dichas escuelas, admiró sus rápi dos prog…</t>
  </si>
  <si>
    <t>…f María de Landa. Cuentas de enteros y quebrados, primero á Don Claudio Domingo de Ochoa. Doctrina de Fleuri, primero á D, Felipe Barto lomé de Ibárrola. Idem de Astete, primero á D. Vicente de Artiñano. Fá bulas de Samaniego, primero á D. Federico de Victoria. Dibujo, primero á D. Francisco Semprun. Idem segundo á D. Juan Ramón. Paternina. Idem ter cero á D. Pedro Bergé. Gramática castellana, primero á D. Josef Fernandez Molina. Idem segundo á D. Gregorio d…</t>
  </si>
  <si>
    <t>Arza, Feliciana de</t>
  </si>
  <si>
    <t>Feliciana de Arza</t>
  </si>
  <si>
    <t>…. N.112. Núm. 9;° D N. 320 rs. y 24 mrs. Núm. 10. D. N. 100. Núm. n. D. Josef Valls de Roca 200. Nú mero 12. Doña N., viuda, 20. Núm. 13. D. N. 100. Núm: i4. D. N. 20. Nú mero 15. Doña Feliciana de Arza 120. Núm. 16. El brigadier Beza óo. Núme ro 17. D. Pablo Cabrero* y su esposa Doña Josefa Martínez 1300. Núm. ig. D. N. 60. Núm. 19. D. N. 40. Núm. 20. D. J. M. 160. Núm. 21. D. A. G. 2©. Núm. 22. D. N. 300. Núm. 23. D, N. 4. Núm'. 24. D. Custodio Alcaldeun v…</t>
  </si>
  <si>
    <t>Aschemberg</t>
  </si>
  <si>
    <t>Gaceta de Madrid n.º 7</t>
  </si>
  <si>
    <t>…el Emperador al Rey la visita, y poco después partieron S. M. I. para Sehlau, donde debía hacer noche, y el Rey de Sa xonia para Diesde. Acaba de absolver el tribunal de Cleves al cura Aschemberg, acusado de perturbador de la tranquilidad publica, por un artículo que insertó en su diario titulado Hermánn. Los periódicos de las orillas del Rhin dicen que dentro de muy pocos dias se sabrán las mudanzas hechas en el ministerio de Badén después de la muer…</t>
  </si>
  <si>
    <t>Ascorve, Manuel</t>
  </si>
  <si>
    <t>Manuel Ascorve</t>
  </si>
  <si>
    <t>…o, que será á 12. rs. vn. libra para todos al pie de fábrica, á que se agregará; la parte de gastos; de modo que el todo no exce derá de 11© rs. vn., para lo que se entenderán con D. Manuel Ascorve, resi dente en dicha villa, donde se darán todas las instrucciones para su manejo, y á mas un impreso de cuanto hay que prevenir en el particular. Si-al com prador íe acomodase mas-que la sociedad mande sugéto que conduzca y colo que la máquina hasta dejar in…</t>
  </si>
  <si>
    <t>Asensio, Josef</t>
  </si>
  <si>
    <t>Josef Asensio</t>
  </si>
  <si>
    <t>…para trazar con la regla y el compás los arcos de r 1 centros en dos supuestos dife rentes, con los cálculos necesarios para probar la verdad de estas operaciones: traduci do por D. Josef Asensio, profesor de arquitectura y grabado, con 40 láminas graba das en dulce. Se hallará con el tratado de Vígnola y el tratado de Sombras, que con tiene 66 láminas, en la librería de Tieso, calle de las Carretas. , Compendio de ayudar á bien morir, compuesto por D…</t>
  </si>
  <si>
    <t>Asensio, Pascual</t>
  </si>
  <si>
    <t>Pascual Asensio</t>
  </si>
  <si>
    <t>…de Abril último * las cinco primeras cátedras de agricultura en estos términos.: la de Toledo á D. Francisco Martínez Robles, la de SevijHa á D. Josef Lucio Perez, la de Burgos á D. Pascual Asensio, la de Léon á D. Josef Alonso Quintanilia,y la de Badajoz á!Df Julián de Luna* Y poste^riorniente en Real orden de i.° de Mayo próximo pasado se djgnó Sf ijl. CÓnL ceder en iguales términos ía cátedra de Valencia á D. Francisco Gil. • Con Real orden de íj de…</t>
  </si>
  <si>
    <t>Asénsio, Ramón Ibaéray</t>
  </si>
  <si>
    <t>Ramón Ibaéray Asénsio</t>
  </si>
  <si>
    <t>Gaceta de Madrid n.º 45</t>
  </si>
  <si>
    <t>…ramar, las co munidades religiosas, los empleados y Otras personas de distinción y el ayun tamiento, cuyo Incido acompañamiento,^con el mejor orden, presidido por el alcalde mayor D. Ramón Ibaéray Asénsio, se trasladó á'dicha iglesia par roquial, en donde se hallaba colocado un magnífico catafalco, sobre el cual se veian las Reales insignias; el piso estaba enlutado con bayetas negras, y las colgaduras eran de ló mismo , habiéndose- Construido un coro vistoso…</t>
  </si>
  <si>
    <t>Asís, María Fnaücisca de</t>
  </si>
  <si>
    <t>María Fnaücisca de Asís</t>
  </si>
  <si>
    <t>…ue había- nombrado Sí M como testigos y coma, asistentes á tan augusta; ceremonia. Reunidos to dos se presentó’ S. *MJ acompañado de^ los Sres. -Infáhtes:. D. Gádos María Isidro ; Doña María Fnaücisca de Asís yD. Fxanciico deJPaula y Doña Maií» /’</t>
  </si>
  <si>
    <t>Asís, María Francisca de</t>
  </si>
  <si>
    <t>María Francisca de Asís</t>
  </si>
  <si>
    <t>…su alojamiento y las inmediatas. Esta mañana salió S. M. de Aranzueque á las cuatro,, é hizo su entrada en esta corte á las ocho y-media, acompañado de las Sermas. Sras. Infantas ;Doña María Francisca de Asís y Doña Luisa Carlota, que habían salido á re cibir á S. M. con sus augustos Esposos, quienes venían á caballo á los dos costados de la carretela. El innumerable concurso de habitantes de esta capi tal manifestó.á vista de su amado Soberano la acendrada fidelidad que le ca racteri…</t>
  </si>
  <si>
    <t>…. Juan Miguel Grijalba, ayuda de Cámara de S. M., su secretario de Cámara. Debajo de la firma de S. M. pusieron las su yas por su órden los Sermos. Sres. Infantes D. Cárlos María, Doña María Francisca de Asís, D. Frqiftápqp/iq Pau^^rípopa Luiga Carlota, llevándoles</t>
  </si>
  <si>
    <t>1324</t>
  </si>
  <si>
    <t>…dividuos el Excmo. Sr. marques de Monsalud, teniente general de los Reales egércitos, gentilhombre de Cámara de S. M., y primer caballerizo de los Sres. Infantes D, Carlos María y Doña María Francisca de Asís, y Don Pedro Díaz de la Peña y Rozas, señor de las Torres Fuertes de Rivacardo, te niente de fragata de la Real Armada retirado, vecino de aquella ciudad; y este dijo á S. M. lo siguiente: ,,Señor: Vuestro Real consulado de Burgos, el primero y mas antiguo de…</t>
  </si>
  <si>
    <t>Aspiroz, Juan Bautista</t>
  </si>
  <si>
    <t>Juan Bautista Aspiroz</t>
  </si>
  <si>
    <t>Gaceta de Madrid n.º 38</t>
  </si>
  <si>
    <t>354</t>
  </si>
  <si>
    <t>…compuesta de dos casas con sus oficinas correspondientes, tierras, árboli do , viñedo, tinajas de su uso y demás, pertenecientes 4 los herederos de Doña Lo renza Atienza, viuda de D. Juan Bautista Aspiroz, tasada todacllaen la cantidad de 334,273 rs. vn. Quien quisiere hacer postura-acuda ante dicho señor juez y escri banía vacante de D. Antonio López ade Salazarv que se admitirán las que se hicieren siendo arregladas. .0.:.;. Se halla vacante la plaza de ciru…</t>
  </si>
  <si>
    <t>Ásprer, Francisco</t>
  </si>
  <si>
    <t>Francisco Ásprer</t>
  </si>
  <si>
    <t>…ro Pp/ro Qidoncho. ; V!( ' Igualmente se ha servido nombrar para la plaza dé alguacil mayor dé la Real audiencia ,de Mallorca, vacante por muerte de D. Antonio Dameto y Pespuig, á D. Francisco Ásprer y de Canal. S. M., á consulta deh cotose jo Real, .se Jia ¿servido mahdar que el mercado que celebra el consejo general;del valle de Aran-yen el principado de Cataluña, los jueves de cada semana, se verifique en los domingos* Habiéndose extinguido la compañía…</t>
  </si>
  <si>
    <t>Astete</t>
  </si>
  <si>
    <t>…Los mismos emigrados me dijeron que la permanencia de Rojas én loa bosques de S. Luis seria sin duda con ei objeto de reunir los caudillos Cmnbay , Rocha, la Viuda.de Padilla y el capitán Astete, que fue de nuestro egército; pues á estos ya sé les ¿guardaba con el fin de salir á hostilizar la plaza , .y qué rio dudaban estuviesen los enemigos traba jando en cortar los eamiqosiy: ponerlos en estado de no poderlos transitar. Con esta noticia empleé</t>
  </si>
  <si>
    <t>Atatiaez, Manuel</t>
  </si>
  <si>
    <t>Manuel Atatiaez</t>
  </si>
  <si>
    <t>Gaceta de Madrid n.º 27</t>
  </si>
  <si>
    <t>…mayorazgo que fundó el Sr. Martin de Chayes, yf. posesiones dáaas á Doña Ines Megia de Chaves Sotomayor del dicho ma yorazgo. ¿i * io. Testamentodelsabel Peinador, y otro del Lie. D. Manuel Atatiaez ¿ie Pineda, cura propio del lugar de Villaescusa. ■' ti\,/t</t>
  </si>
  <si>
    <t>Atranz, Manuel</t>
  </si>
  <si>
    <t>Manuel Atranz</t>
  </si>
  <si>
    <t>…e Bussot Don Joaquín Ruiz de Lope en la villa de Albatéra; el de Arnedillo D. Francisco Amatriain en Peñaranda de Duero; el de Bejar D- Josef Rodríguez^ en Tastrapa ; el de Quinto D. Manuel Atranz en Zaragoza; el de Ardales ÍX Juaq de .la Monja en Málaga ; el.de. Caldas de Cuntís y de Reyes D. Jacobo nuel Fernandez en éste último punto; el de Puertollano D. Carlos Romeral en esta corte , calle de..la Cruz ,• núm. 2 ;.el del Molar D. Tomas Bermudez call…</t>
  </si>
  <si>
    <t>Audouard</t>
  </si>
  <si>
    <t>Gaceta de Madrid n.º 3</t>
  </si>
  <si>
    <t>…s que pueden pensar en venir á Sierra-Leona.” FRANCIA. Parts 12 de Diciembre. Ha estado á despedirse del Rey y de la familia Real lord Wellington* que sale mañana para Londres. El doctor Audouard, autor de una obra intitulada Investigaciones sobre el contagio de las calenturas intermitentes, ha publicado últimamente una memoria acerca de las congestiones sanguíneas del bazo , que son en su dictamen la causa de la enfermedad que los ingleses llaman spl…</t>
  </si>
  <si>
    <t>Aupetit, Pedro Julián</t>
  </si>
  <si>
    <t>Pedro Julián Aupetit</t>
  </si>
  <si>
    <t>…P. D. Fr. Manuel Merino, prior mayor del referido monasterio, y juez examinador sinodal del Real y supremo Consejo de las Qrdenes., .Guadalajara. jo de Febrero. , &gt; Apenas el Lie. D. Pedro Julián Aupetit recibió como presidente del limo, ayuntamiento de esta ciudad la carta del Rey nuestro Señor, en la que co mo á ciudad de voto én cortés'dábá'parté de la infausta-muerte de su aurista Esposa, citó á ayuntamiento extraordinario en el mismo día 31 de Diciem bre…</t>
  </si>
  <si>
    <t>Avila, Francisco</t>
  </si>
  <si>
    <t>Francisco Avila</t>
  </si>
  <si>
    <t>…viuda de Dofi. Juán de Otón, sacrificado por los insurgentes el 3 de Agosto de 1813 en-h provincia de Cumaná, la pensión de tres reales diarios. A Doña Petronila Alayon, viuda de D. Francisco Avila, muerto á manos de -ios insurgentes cuando fue destinado por este Gobierno á conducir pliegos iulportantes del Real servicio al egérciro, la misma pensión que á la-anterior.! -c ' i’ Entre los pueblos de la Andalucía baja invadidos del contagio, de que an ter…</t>
  </si>
  <si>
    <t>Avila, Pedro</t>
  </si>
  <si>
    <t>Pedro Avila</t>
  </si>
  <si>
    <t>…ahona con sus correspon dientes oficinas en actual uso, también con sus graneros y desvanes encima, tasado en el presente año por el arquitecto de la Real academia de S.1 Fernando D. Pedro Avila en 129,873 rs. vn., sin incluir el valor del sitio del jardín y vasos de bodega* lo que asimismo con las tierras que se expresarán ha sido tasado igualmente en este año por el agrimensor D. Angel Izquierdo en esta forma:,las 45 tinajas, de caber 3400 arrobas,…</t>
  </si>
  <si>
    <t>Ay, Ignacio López de</t>
  </si>
  <si>
    <t>Ignacio López de Ay</t>
  </si>
  <si>
    <t>…icho auto*, en lá librería de la vuida de Quiroga, calle de las Carretas. * . ' Religión ; patria y honor triunfan del mas ciego amor: la Hirza, tragedia france sa*, traducida por D. Ignacio López de Ay ala, impresí en 1786/Véndese-á 2 rs. en papel en'eL-almacén dé'laí imprenta Real. * * • ‘ EN LA IMPRENTA REAL, ^</t>
  </si>
  <si>
    <t>Ayala, Isidoro de</t>
  </si>
  <si>
    <t>Isidoro de Ayala</t>
  </si>
  <si>
    <t>…erci donde S. A. se ,dignó manifestar mas decididamente sus vivísimos deseos del bien público, fue al hacer la entrega de una medalla de oro de dos onzas al teniente de caballería D. Isidoro de Ayala, como premio que le tenia acordado la sociedad en recompensa de haber inventado un trillo superior en ventajas á todos los conocidos hasta ahora, y cuyo modelo se hallaba so bre la mesa. Al recibir el agraciado de manos tan dignas esta apreciablé dis tinción…</t>
  </si>
  <si>
    <t>Ayála, Josef de</t>
  </si>
  <si>
    <t>Josef de Ayála</t>
  </si>
  <si>
    <t>…s acudaq-á deducirle dentro de 20 dias en el expediente que pende por la escri banía de Cámara y de Gobierno de él por lo tocante á ios reinos de" la corona de Aragón del cargo de D. Josef de Ayála, relativo á aplicar los citados bienes en él establecimiento de dos escuelas de primeras letras en la villa de Berga, principado de Cataluña; con apercibimiento de qqe no compareciendo‘dentro de dicho ténnipb be procedará á lo qué haya lugar. ' ' ’ ^ i; . • E…</t>
  </si>
  <si>
    <t>Ayala, Santiago</t>
  </si>
  <si>
    <t>Santiago Ayala</t>
  </si>
  <si>
    <t>…r el titu lado capitán de híísares de Burgos D. Eustaquio Sacristán, al tiempo que eran remiti dos a su renovación , según estaba íuandadoLpor repetidas órdenes por el comisionado D. Santiago Ayala á esta capital con otros varios, cuyos vales, según ¡noticias en ió de Diciembre de 1873, obraban e^ poder d¡e los Spes. Balmaseda, hijo, de Vitoria; se servirá .avisarlo con Ia brevedad posible á D. Ignacio Vicente de Errasti, en la villa de Azpeítia, provin…</t>
  </si>
  <si>
    <t>Azaña, Esteban</t>
  </si>
  <si>
    <t>Esteban Azaña</t>
  </si>
  <si>
    <t>…edio de una diputación compuesta de su corregidor D. Joaquín de Zengotita Vengoa , del consejo de S. M.; Don Pedro Aldama, regidor; D. Pablo Urruela, procurador síndico general, y D. Esteban Azaña, secretario de su ayuntamiento, tuvo la honra de felicitar á S. M. el dia 12 de Noviembre; y dicho corregidor le arengó en los térmi nos siguientes: Señor : ,, Feliz aquella hora en que V. M. proyectó consolar á esta monarquía proporcionándola una tierna madr…</t>
  </si>
  <si>
    <t>Azcarate, Blas</t>
  </si>
  <si>
    <t>Blas Azcarate</t>
  </si>
  <si>
    <t>del presente ha dado al teniente coronel D. Josef María Lubian el teniente de realistas D. Blas Azcarate. ,,Es contraído á ia acción en que derrotó y puso en fuga á una gavilla numerosa de bandidos, procedente de Cuyuxquíhuy, que trató de sorpren derle, y sufrió en castigo de su maldad la pérdida efectiva que manifiesta el mismo parte. ,, El oficial que suscribe…</t>
  </si>
  <si>
    <t>A’ndrade, Juan de</t>
  </si>
  <si>
    <t>Juan de A’ndrade</t>
  </si>
  <si>
    <t>…, y una casa existente esta en la villa Aravacá, y aquéllas en los términos de la misma, la de Húmera, Pozuelo de1 Aláréqú y Majadahonda , perteneciente todo á la testamentaría de D. Juan de A’ndrade ; éndá inteligencia de hallkrse rematadas ya 65 fanegas en las dos terceras partead© -su tá¿ sación, libre de toda carga y gravamen: el que quiera hacer ‘postura á las ciernas, d mejora en las rematadas, acuda ante dicho señor alcalde y escribanía de provinci…</t>
  </si>
  <si>
    <t>B, E.</t>
  </si>
  <si>
    <t>E. B</t>
  </si>
  <si>
    <t>-i 1-3.8 Luís deSojo i®. Núm; ito. D. E. B. 200. Núm. iit. ElExcmo. Sr. duque de Lava! Monttnorenzi y de S. Fernando Luís 2®. Nutn. 112. El señor cura de Santiago de Madrid, por limosnas recibidas de sus feligreses &gt; 730. Núm. 11V. D. Gerónimo Bueno too, Nutn. 114. D. M. N. 20. Núm. 115. El señor'cura…</t>
  </si>
  <si>
    <t>B, F. C.</t>
  </si>
  <si>
    <t>F. C. B</t>
  </si>
  <si>
    <t>…Núm. 192. Dós hermanos 60.;«Núm; &lt;N.'40. Núm. 194. Doña F.M; 16a. Núm¿ 195* BU;M&gt; A.Xs.aoo.NútíiJ¿9^* ¿D; N.y confesor, 50* Nóm. 197. D. Manuel Lopefc'de la.Peña 200. Numeito 198. D. F. C. B. ioq. Núm. 199; D. M. Fm 20. D M. A. 40. •Núm. 201. Los Sres. gefes y oficiales del r.egi míe n t.o &gt; jjnfan te ría- In fa n té íDon Cárlos , por mano de- su teniente coronel may^tíDíiManueLG Doile/^e 'lo recogido ,en este mes , 834. Núm. 202. El señor tenient…</t>
  </si>
  <si>
    <t>B, F. L.</t>
  </si>
  <si>
    <t>F. L. B</t>
  </si>
  <si>
    <t>1217</t>
  </si>
  <si>
    <t>…ansversal de esta ciudad á la de Sevilla. Madrid 16 de Noviembre. Continúa la lista de los sujetos que han contribuido en Madrid para socorrer los pueblos epidemiados. Número 480. D. F. L. B. 320 rs. Núm. 481. D. F. Y. 320. Núm. 482. El Excmo. Sr. Príncipe de Maserano 320. Núm. 483. Una señora de la villa de Lequeitio, en el señorío de Vizcaya, 80. Núm. 484. El limo. Sr. deán'y cabildo de la catedral de Avila 2®. Núm. 485. El alcalde mayor, cura p…</t>
  </si>
  <si>
    <t>B, F. X.</t>
  </si>
  <si>
    <t>F. X. B</t>
  </si>
  <si>
    <t>…pleados y ope rarías de la Real fábrica de cigarros de esta corre 4®. Núm. 507- El Sr. cura deS. Lorenzo de esta corte, por limosnas recibidas de sus feligreses, 100. Nú mero 508. D. F. X. B. siete recibos de intereses de vales Reales, importantes 1624 rs. Núm. 509. El Excmo. Sr. conde, del Montijo 320. Núni&gt;y.jo. Don N. 88 rs. y 24 mrs. Núm. 511. D. N. 110 rs. y 20 mrs. Núm. 51 2. Doña Cristina Gómez 60. Núm 513. D. Y. A. R. 60. Núm, &lt; 14. D. N.…</t>
  </si>
  <si>
    <t>B, J. J.</t>
  </si>
  <si>
    <t>J. J. B</t>
  </si>
  <si>
    <t>…guera. Grande y magestuoso wals de la Reina de España Doña María Josefa Ama11 a de Saxonia á la feliz entrada de S. M. en Madrid, compuesto separadamente para piano y guitarra por D. J. J. B., y grabado por Virmbs, Esta nueva coraposí.cion consta de 11 partes de mucho gusto, intermediada de una de campanas alusiva . á la entrada. Se hallará á 5 rs. cada egemplar en la librería y almacén de papel de Ortega, calle de las Carretas. Igualmente están d…</t>
  </si>
  <si>
    <t>B, M.</t>
  </si>
  <si>
    <t>M. B</t>
  </si>
  <si>
    <t>…la Riva, durante la epidemia, por 40 rs. al mes-Núm. 2.°. Doña Juana Perez, por idem, por 10 rs. semanales. Núm. 3.0 D. Vicente García, por un mes, con 20 rs. semanales. Núm. 4.® D. M. B., durante la epidemia, con 3 rs. cada dia. Núm. 5.0 D. Gregorio J011sansoro y Serralta y su hijo D. Julián, ayudas de Cámara de S. M., mien tras dure la epidemia, con 200 rs. mensuales. Ñiim. 6.° Juan Martin Taber nero, por idem, 12 rs. mensuales. Núm. 7.0 £&gt;.…</t>
  </si>
  <si>
    <t>…. 68 D. Cayetano Bautista 25. Núm. 69. Don Santiago Antonio de Unza 80. Núm. 70. D. A. E. 70. Núm. 71. D. Domin go Riesco 60, Núm. 72. El Excmo. Sr. D. Joaquín Blake ico. Núm. 73. Don M. B. 60. Núm. 74, D. N. C. 320. Núm. 75. D. J. M. 60. Núm. 76. Don J. S. 160. Núm. 77. D. N. C. 20. Núm. 78. í). Josef Ribera 3C0. Núm'. 79. Los Sres. N. S. 800. Núm. 80. D. V. R. 20. Núm, 81. D. J. F. 100. Nú mero 82. Doñá M. E. E. 300. Núm. 83. D. J. IX. 60. Núm…</t>
  </si>
  <si>
    <t>…de la Cuesta 10. Núm. 166. D. Josef María de Pando 500. Núm. 167. D. K. Z. 20. Núm. 168. D. J. J, J. 332 rs. y 32 mrs. Núme ro 169. D. M. P. 20. Núm. 170. D. J. H. 120. Núm. 171. Doña M. B. iock N úm. 172. D. N. 20. Núm. 173. D. Cristóbal Sorribas 4a. Núm. 174. Doña Eusebia de N. 20. Núm. 175. Doña Isabel Simón 40. Núm. 176. D. Juan Villena 40. Núm. 177. D. S. R. 300. Núm. 178. D. F. R. 30. Núm. 179. D. B. Y. 40. Núm. 180. D. P. F. 60. Núm. 181.…</t>
  </si>
  <si>
    <t>B, M. y</t>
  </si>
  <si>
    <t>M. y B</t>
  </si>
  <si>
    <t>…recomendación del alma, la consí¡gracion de !los obispos; y da bendición de la muget después deisui parto. Obra dirigidi á los fieles de ambos sexos para su instrucción por O. C. *D. M. y B. : nn, tomo ■8.° Se hallará en la librería de Hurtado, cálle de las Carretas,, y en di puesto de Sán chez , calle de Atochaá 8 rs. ^en pasta y 6 en pergamino. f0 , ; . . Observatorio -rustico por D. Francisco G regorió de Salas, presbítero: .octava edi ción ad…</t>
  </si>
  <si>
    <t>B, N.</t>
  </si>
  <si>
    <t>N. B</t>
  </si>
  <si>
    <t>…sv Cuestores - dél cuartel de ia Plazar^fwjt'iejsto^jdeík jdeiiiandai^njéL^i^ 10 ,rs.¡yL24jjmís. ,Nújneío-547^IXPedí4 Balse¿íGáldeírony;il¿ parteude im sacerdote^©©.) Núm ero 568. Doña N. B. 40. Núm. 569. D. Juan Antonio González Carrillo iod‘. Núini 57OVÍEI i'JmodSrvFobíspb dé 0riliuélahi$ooT. Num.: 571.Elrcabildo de la cólegiatra*de Pastrana ún váilecomún de íi ?jó pesos..Núm. &gt;ty2¿ D.JiG. 26. Núm. 5 73. El Timo; cabildo de la ReaE iglésiaEcrS.…</t>
  </si>
  <si>
    <t>B, P.</t>
  </si>
  <si>
    <t>P. B</t>
  </si>
  <si>
    <t>la diócesi de ^Osma , 6o rs. y 20 mrs. ííum. 642. D. D. P. B. 22 rs. y 6 mrs. Núm. 643. Jil limo. Sr. prior y cabildo de la Catedral de Pamplona 2®. Nú«aero,644. El limo. Sr, deatvy cabildo de la catedral de Tuy i®. Núm. 645. D. N. 160. Núm. 646. El limo. Sr. deán y cabildo de la catedral de Sigüenza T2oo. Núm. 647. El…</t>
  </si>
  <si>
    <t>B, R.</t>
  </si>
  <si>
    <t>R. B</t>
  </si>
  <si>
    <t>…or cura de S. Justo y S. Miguel de Madrid,, por limosnas recibidas de sus feligreses, 1670. Núm. 132. Un farmacéutico 300. Núm. t33. D. R. S. 440. Núme ro 134. D. N. 40. Núm. 135. Doña R. B. 20. Núm. 136. D. Evaristo Vi cente Alvarez 120. Núm. 137. D. Rafael de Elorza 100. Núm. 138. Doña Ramona Berenguel 60. Núm. 139. D. P. P. 40. Núm. 140. D. N. 2®. Nú mero 141. El Exorno. Sr. D. Martin García y Loigorri 200. Núm. 142. Fé lix Fernandez, mozo sir…</t>
  </si>
  <si>
    <t>B, X.</t>
  </si>
  <si>
    <t>X. B</t>
  </si>
  <si>
    <t>II (rj Genaro Rodenas, intendente de Salamanca , 200. Núm. 290. D, Nicolás Gar~ cía 60. Núm. 291. Doña X. B. 100. Núm. 292. D. J. L. L íoo. Núme ro 293. D. Mateo Obregon, capellán de honor, 300. Núm. 294. D. Andrés Gasaña 100. Núm. 295. D. L, Y. 320. Núm. 296, Los señores cuestores deí bardo del cuartel de Afligidos 706. Núm. 297. D. F.G. 60. Núm. 298. Doña C. Ñ* 20…</t>
  </si>
  <si>
    <t>Bada, Juan</t>
  </si>
  <si>
    <t>Juan Bada</t>
  </si>
  <si>
    <t>…dem; D. Ramón Soto, sargento mayor del regi miento de la Puebla; D.-Francisco de Paula Landa, idem del de dragones de S. Luis; D. Cristóbal Vjllaseñor, capitán del de Sierragorda; D. Juan Bada joz, capitán del regimiento i.° americano; D. Juan .-Arguelles, teniente; del mismo: D. Martin Variandaran, capitán del regimiento de dragones del Prín cipe. ; Honores del tribunal de la Rota. A D. Lorenzo Ortega, canónigo lectora! de Santiago; D» Luis’ Ramír…</t>
  </si>
  <si>
    <t>Badajoz, Joaquín Sánchez</t>
  </si>
  <si>
    <t>Joaquín Sánchez Badajoz</t>
  </si>
  <si>
    <t>…ín Araujo, D. Juan Bautista Echeverría y IX Ramón Tajonar; subtenientes D. Francisco Campo Osorio, D. Santiago Bermejo, D. Juan Benavente y Don Tomas Cepero: del primero Americano capitán D. Joaquín Sánchez Badajoz; subtenientes D. Juan Calvillo y D. Francisco Alvarez: del provincial de Fer nando, vil subteniente D Manuel Cúbelo; y de caballería dragones de Pue bla teniente D. Cayetano Gesarini, y alférez D. josef Frontera. ,,También recomiendo á V. S. muy particularmen…</t>
  </si>
  <si>
    <t>Badilio, Antonio</t>
  </si>
  <si>
    <t>Antonio Badilio</t>
  </si>
  <si>
    <t>…particularmente el capitán de cazadores de S. Luis L&gt;. Juan Domínguez, que ha mandado la infantería, los tenientes de Nueva-España D. Josef García Jove, y de dragones de. Mon eada D. Antonio Badilio, y los alféreces de este cuerpo D. Antonio Gelati, que me ha servido de ayudante,, y el de. mi cuerpo D. Manuel Arana,, todos .los que se han distinguido. _ . ,, Dios guarde á V- S. muchos años. Val lado lid Junio 22 de 1818.== Vi cente Lara^ Sr. coronel y co…</t>
  </si>
  <si>
    <t>Bahamonde, Manuel</t>
  </si>
  <si>
    <t>Manuel Bahamonde</t>
  </si>
  <si>
    <t>Gaceta de Madrid n.º 9</t>
  </si>
  <si>
    <t>…;ia y gobierno, y á fin de •que no alegue ignorancia. - Por Real -resolución de 11 del presente mes, á consulta del Consejo supre mo de la Guferra, se ba servido S. M. conceder á D. Manuel Bahamonde, far macéutico en'la ciudad de Santiago, el: , fuero milit ir y uso de uniforme de practicante dé farmacia de egércíto en premio de los. servicios que ha hecho en las boticas' militares de campana durante la última guerra; declarando al mismo tiempo le ha sid…</t>
  </si>
  <si>
    <t>Bahí, Juan Francisco</t>
  </si>
  <si>
    <t>Juan Francisco Bahí</t>
  </si>
  <si>
    <t>Gaceta de Madrid n.º 79</t>
  </si>
  <si>
    <t>…trucción. Barcelona 10 de Junio. En ía sesión que en el día de ayer celebró la Real academia de ciencias •naturales y artes de. esta ciudad , su director de botánica y agricultura Don Juan Francisco Bahí , médico honorario de Cámara de S M., socio de varios -cuerpos académicos, leyó tina importante memoria sobre la prodigiosa repro ducción del trigo y demas plantas cereales, y el grande ínteres que tenemos én mejorar ¿u siembra y cultivo en España para asegur…</t>
  </si>
  <si>
    <t>Bailinaprestando.-su, Antonio Plá.y</t>
  </si>
  <si>
    <t>Antonio Plá.y Bailinaprestando.-su</t>
  </si>
  <si>
    <t>…cerragería. En seguida en? ,t/p S.jyl.. qqf el establecí miento destinado á la primera educación, en la que se cuentan^- ipaSf de ■zoo.. piños, desde. ,5 á&gt; 10 años, que dirige el profesor Don Antonio Plá.y Bailinaprestando.-su soberana a teneiojn &amp; jos ñiños, cuya ins trucción en leer, escribir, contar, gramática ‘castellana* ortografía, catecis mos, fábulas, diálogos morales, economía política y,sana moral, urbanidad y aritmética agradó sobremanera á S. M. y á los que tuvieron la…</t>
  </si>
  <si>
    <t>Bajo, Pedro García</t>
  </si>
  <si>
    <t>Pedro García Bajo</t>
  </si>
  <si>
    <t>Gaceta de Madrid n.º 108</t>
  </si>
  <si>
    <t>…anifestarán, y bajo las cuales_se ha de practicar el expresado último remate. • Por providencia del alcalde mayor, ^subdelegado de Mostrencos de la villa de Bejar, y escribanía de D. Pedro García Bajo, se ha señalado el domingo .26 del corriente para el remate de las fincas siguientes, que pertenecieron á D. Josef Gon zález Ri'co, vecino que fue de esta corte, y éstan declaradas abintestatas. Un mol ño harinero con dos piedras en la ribera de Bejar, por ¿i…</t>
  </si>
  <si>
    <t>Baldomc</t>
  </si>
  <si>
    <t>Gaceta de Madrid n.º 62</t>
  </si>
  <si>
    <t>…han podidq&lt;alterar el ánimo desús habitantes,,, Después de la expedición1 dirigida ¡contra ¿I cabecilla Fernandez por el coronel D. Josef Santos de lá Hera , destaqué-al teniente coronel D. Baldomc ro Espartero contra los caudillos Cueto y Serna, que-se hallaban en las inme diaciones de Majocoya,y por la copia del parte que acompaño se impondrá V. E. de los felices resultados de esta jornada, como tambien dei buen éxito que han logrado en sus tentativas…</t>
  </si>
  <si>
    <t>Baldomcro</t>
  </si>
  <si>
    <t>…818.r=Exce lentísimo Sr. = Rafael Maroto. = Excmo. Sr. virey del Perú D. * Joaquín de la PeZUela.” ' - ' \ r/i : ■ ■■ : ' ^ V1- .•*•;. ! &gt; !■ ¡v.’í-* r&gt;■; r;r&gt; Parte del teniente ‘coronel D. Baldomcro, Espartero al señor pres identé gobernador de la Plata* »El 19 del actual á_las 4 de la tarde se presentó en las líanutas inmedú-</t>
  </si>
  <si>
    <t>Ballenilla, Gaspar Antonio</t>
  </si>
  <si>
    <t>Gaspar Antonio Ballenilla</t>
  </si>
  <si>
    <t>1121</t>
  </si>
  <si>
    <t>…Xtmenez1, muerto en la acción de guerra tenida enMaturin. en 25 de Mayo del año de 13 , la pensión de 3 rs. diarios. A Doña María Sánchez de Torres, vecina fie Cumaná, y viuda de D. Gaspar Antonio Ballenilla, fusilado de orden del insurgente Marino, que lo aprisionó el 30 dé Julio de i8í8 Kigual pensiou.</t>
  </si>
  <si>
    <t>Ballesteros</t>
  </si>
  <si>
    <t>…ergantín Judith, patrón Jorge Richordopulo, rusoj de Odessa,.con trigo, 30 idem. 7.0 Bergantín Guerrero, patrón Juan Payan, ingles, de TangerofF, con trigo, 30 idem. 8.° Bergantín general Ballesteros, patrón Antonio Triay, ingles, de Odes sa, con trigo, 30 ídem. ‘ 9.0 Bergantín Virgen del Carmen, patrón Pablo Soler, español, de Odessa, CÓri trigo , 30 ídem. ' ‘ ib. Bergantín Monte Carmelo ( alias Puerto Mahon ), patrón Miguel To mas Menor, español, de Ode…</t>
  </si>
  <si>
    <t>Ballesterps, Josef Vázquez</t>
  </si>
  <si>
    <t>Josef Vázquez Ballesterps</t>
  </si>
  <si>
    <t>1077</t>
  </si>
  <si>
    <t>…es de S. Cristóbal, gentil» .hombre dq Cámara ; D. Antonio López de Haro, alguacil mayor y regidor perpetuo de Alcaraz; D. Rafael Fausto,Florín,, intendente graduado de pro vincia D. Josef Vázquez Ballesterps, fiscal del Consejo supremo de Ha cienda; D. Luis de Peñalvervecino.de la Havana; D. Domingo Surga, se gundo teniente del primer regimiento de Reales guardias de infantería; Don Vicente Martínez, primer médico de Cámara; Di Ignacio Moreno, tesorero . dé egérc…</t>
  </si>
  <si>
    <t>Balmasecta, Pedro Romero</t>
  </si>
  <si>
    <t>Pedro Romero Balmasecta</t>
  </si>
  <si>
    <t>…Mogo; BFaír: -D. Josef García. Vidal EX Josef GomezHormigo y D. Juan Boíaños Lancha, con las reflexiones de Muratori sobre el buen:gasto,s.D¿ Juan de Qoíntanilla, D. Roque Alcon, D. Pedro Romero Balmasecta y D. Florencio Sánchez Pa vón, con las lecciones instructivas delirarte: EX Gaspar Angulo y Aguado, con los eleiáehtos de retórica &gt;y poética de Araujot iD. Francisco de Pimía Ro.driguez, con la clave geográfica deiFiorez: D. Alonso Fernandez , con las‘fá bulas de Samaniego: D. Jos…</t>
  </si>
  <si>
    <t>Bálsamo, JOan Bautista</t>
  </si>
  <si>
    <t>JOan Bautista Bálsamo</t>
  </si>
  <si>
    <t>…rto de Ñapóles el de S. M. el Rey D. Carlos iv, y en el de Gaera el de S. M. la Reina Doña María Luisa, á bordo de la fragata sici liana ia Sirena y del mando del capitán de navio D. JOan Bautista Bálsamo; quien en ella los condujo al puerto de Alicante, donde desembarcados en 25, del mes de Agosto próximo pasado fueron recibidos por el Excmo. Sr. Dqá Ramón de S. Martin, marques de S. Martin, caballero de ia insigne órdeil del Toison de Oro, gran cruz de la de…</t>
  </si>
  <si>
    <t>Bandín</t>
  </si>
  <si>
    <t>1067</t>
  </si>
  <si>
    <t>…pedición cientí fica, arribó á Timor en 9 de Octubre de 1818, yendo de la costa N. O. de4a nueva Holanda , en donde «ha? reconocido la parte que no pudo explorar com pletamente el capitán Bandín, y debía hacerse otra vez á la vela del 25 al jó del mismo mes de Octubre. Se conservaba toda la tripulación en perfecta salad; En un periódico holandés se ha publicado una noticia muy circunstancia da de la traslación de un molino de viento de un paragé á ot…</t>
  </si>
  <si>
    <t>Bañuelos, Santiago de</t>
  </si>
  <si>
    <t>Santiago de Bañuelos</t>
  </si>
  <si>
    <t>…en la cantidad de 28,730 rs. vn. metálicos con varias condiciones. ' Habiendo fallecido en la ciudad de Orduña sin sucesión Doña María Francisca Velez de Calera y Guindo, viuda de D. Santiago de Bañuelos, y poseedora del vín culo fundado por Catalina de Urieta, sus testamentarios residentes en la misma lo avisan al público, para qué las personas qué se contemplasen con derecho al expre sado vínculo y demas bienes que hubiese dejado, se presenten en dicha ciud…</t>
  </si>
  <si>
    <t>Baqueano, Josef de</t>
  </si>
  <si>
    <t>Josef de Baqueano</t>
  </si>
  <si>
    <t>…juzgado de esta muy heroica villa , que actualmente despacha el te niente corregidor D. Angel Fernandez de los Ríos, se promovieron y haq-se guido autos á demanda que interpuso el Sr. D. Josef de Baqueano , con'de que fue de Vistaflorida, y han continiiado porpsii fallecimiento sús sobraos carnales, 4 quienes' representa P..Miguel de Nájejna,por'el concepto de here deros del Sr. ü. Juan Agustín de Baquijano,cóndef 44 mismo título, que fa lleció á 2 de Diciembr…</t>
  </si>
  <si>
    <t>Baquer, Antonio</t>
  </si>
  <si>
    <t>Antonio Baquer</t>
  </si>
  <si>
    <t>…los Sta. María, regidor perpetuo de la propia muy heroica villa, mariscal de campo de los Reales egércitos, y caba llero gran cruz de la Real y Militar órden de S. Hermenegildo, y D. Antonio Baquer, regidor honorario de la citada muy heroica villa, y su diputado del común, los tres en representación del ayuntamiento de la misma. A la izquierda del dosel liabia una mesa cubierta, con dos taburetes rasos, uno de ellos para que á su tiempo se sentase el Sr…</t>
  </si>
  <si>
    <t>Baquér, Antonio</t>
  </si>
  <si>
    <t>Antonio Baquér</t>
  </si>
  <si>
    <t>1286</t>
  </si>
  <si>
    <t>…, se vean realizadas las benéficas miras de tan digno Monarca con el anhelo y pron titud que S. M. apetece.’" S. M. se ha dignado conceder los honores de Intendente de provincia á D. Antonio Baquér, en atención á^u mérito y servicios. Manuel Sainz, vecino y labrador de la villa de Valverde de la Vera, pro vincia de Extremadura, tue robado en la mañana del 19 de Mayo de 1818 con otros dos viageros por cuatro soldados, que habiendo desertado del regi mien…</t>
  </si>
  <si>
    <t>Baquijaiió, Juan Agustín de</t>
  </si>
  <si>
    <t>Juan Agustín de Baquijaiió</t>
  </si>
  <si>
    <t>'jf.4 -réfeíido 0. ^ígüel "dé Nájer^, como ápdd&amp;fadó y 'répréseiftantc dé losliere-'déros1 sobríiios carnales de D. Juan Agustín de Baquijaiió, se ha servicio ^iGbnsejo níátídar qüé se anuncie ai público esta previdencia en contra-aviso de £eSs tomadascpor él tehiénté,;^anun^éiada^alj púMico' á petición de D. M¡p-tías de Pé'tíiña -en1 Jagaceta; dé ¿te 0éfubi*e de&gt;í818 y ídiarios^ de Madf.id ~dfe ;t4…</t>
  </si>
  <si>
    <t>Bar</t>
  </si>
  <si>
    <t>…sté de su parte á que tenga exacto cumplimiento estp soberana resolución. Madrid .20 de Diciembre. de 18,19. " * 1 % En atención á los muchos y distinguidos servicios y méritos de D. Bar tolomé Renguenet, cónsul en Fiiadelfia, en los Estados-Unidos de América, sé lia dignado S. M. concederle los honores de comisario ordenador de marina. , El Rey nuestro Señor se ha servido señalar para la celebración de la jun ta general de accionistas de la…</t>
  </si>
  <si>
    <t>Bar, Félix</t>
  </si>
  <si>
    <t>Félix Bar</t>
  </si>
  <si>
    <t>…mandado celebrar junta de todos los que se contemplen acreedores, asi á la testamentaría del precitado D. Juan Barrera, como de los que contra sí tenga su hijo y heredero en parte D. Félix Bar rera; y señalado para ella el domingo 24 del corriente, á las nueve en punto de ia mañana, en la posada de S. S. Lo que se les anuncia para su noticia y concurrencia en el expresado dia. EN LA IMPRENTA REAL.</t>
  </si>
  <si>
    <t>Barandalla, Tomas</t>
  </si>
  <si>
    <t>Tomas Barandalla</t>
  </si>
  <si>
    <t>Gaceta de Madrid n.º 63</t>
  </si>
  <si>
    <t>…rlos como lo esperaba’ahtes de'Cfai— quiaca yien cuyo punto se:me reunió Poveda el 20.: j ^ 3- ? c ! :1 . , El día después mandé ai coronel Vigii con el comahdante de Extrema dura D. Tomas Barandalla y la mitad de'la fuerza de la expedición sobre Ca— faparí é Itau en seguimiento de Rojas, Sánchez y otros caudillos: este digno-gefe logró, alcanzarlos eik el primero y segundo punto Ios-clÍas 2 t^ 23- y- 2-5 y ba tirlos del modo mas decisivo, matándoles much…</t>
  </si>
  <si>
    <t>Barandica, Dorotea de</t>
  </si>
  <si>
    <t>Dorotea de Barandica</t>
  </si>
  <si>
    <t>…ue lejba conferido de la demanda que en 15 del mes últi mo le ha puesto Doña María Angela de Olloqui, viuda de D. Manuel de Rotaeta, vecina de la villa de Bilbao, como heredera dé Doña Dorotea de Barandica , sobre que se declare la corresponde como tal él referido vale, y quefen su consecuencia se mande renovar en su cabeza para que asi se la entregue, pues si lo hiciere se le oirá y guardará justicia endo que la tuviere; con apercibimiento deque en su defecto…</t>
  </si>
  <si>
    <t>Barandica, Miguel de</t>
  </si>
  <si>
    <t>Miguel de Barandica</t>
  </si>
  <si>
    <t>765</t>
  </si>
  <si>
    <t>…gran cruz de la Real orden americana de Isa^í la Católica. El dia 16 del actual fondeó en da bahía de Cádiz la goleta Galga, correo de la armada, al mando del teniente de fragata D. Miguel de Barandica, con la correspondencia de.oficio y pública de América. Lo que se avisa al públi co para su inteligencia á. los fines que-le convengan.</t>
  </si>
  <si>
    <t>Barba, Josefa</t>
  </si>
  <si>
    <t>Josefa Barba</t>
  </si>
  <si>
    <t>…r cCtovenienté anunciar; los nombres de estas, que sonólas siguientes: Doña Pantáleona Perez de Vergara ,discípula y pasanta de la’Re'ai escuela gratüita; del barrió de Sta.Cruz:' Doña Josefa Barba josa, discípula y pasanta dé la Real'escuela del barrio de; Pinto; Doña María Regina Santos, discípula y pasanta de la Real escuelndeh barrio de S. Basilio: Doña Manuela--Nieto, discípula de la Real escuela del barrio de S. Plácido: Doña María Fernandez, disc…</t>
  </si>
  <si>
    <t>Barbastro, Pelegrin Miguel de</t>
  </si>
  <si>
    <t>Pelegrin Miguel de Barbastro</t>
  </si>
  <si>
    <t>De la NaVa del Rey. A D. Quirico Antonio Egaña. De Ma zarrón. A D. Pelegrin Miguel de Barbastro. De los Barrios en el campo de Qibraltar. A D. Antonio Becerril Hiño josa.. Segundo de la ciudad de Córdoba. A D. Angel Martínez del Pozo. : De Camprodons. A D. Estanislao Oloriz y Este!les. De Berga. A D. Salvador Arnaldo y Segaría. De Elda. A D. Melchor Cor…</t>
  </si>
  <si>
    <t>Barbet, Manuel</t>
  </si>
  <si>
    <t>Manuel Barbet</t>
  </si>
  <si>
    <t>…mé Martine?, D. Juan Antonio Novo, D. Alejandro Rodríguez , D. Francisco Santos, D. Francisco Calderón y D. Antonio Blanco. E11 geometría elemental el dicho D. Bartolomé Martínez, D. Manuel Barbet, D. Mañuél Díaz,'O. Ramón Pepn , D. Josef Rodríguez Romero y EX Fermín Pedregal. En geometría prác tica el referido Barbet, D. Joaquín y D. Luis Ciavareza, D. Fermín Galceran, D. Florencio Pereira/D. Manuel Rodrigpez Almeida, D. Vicente Rey, Don Ramón Casal y…</t>
  </si>
  <si>
    <t>Bárcena, María Josefa de</t>
  </si>
  <si>
    <t>María Josefa de Bárcena</t>
  </si>
  <si>
    <t>…e'la pertenencia de un- censo de 20®- rs. de $r|qqipal, de facultad Real, impuesto sobre el estado de los Veloz en cabeza de .Fran*cisco de Madrid, vecino de Valladolid, hecha por Doña María Josefa de Bárcena y D. Francisco Alonso de Usategui su hijo, su fecha 8 de Diciembfe de 17.16. v ' '&gt;'!-■■■ ¡ ‘ - *•- ;• •5:0 Egecutoria obtenida á pedimento de D. Pedro Alfonso Flores Monte negro , vecino de la villa -de Brozas , en el pleito que ha tratado cón el cóh&lt;cejo de la villa de Alcántara…</t>
  </si>
  <si>
    <t>Bardají, Dionisio</t>
  </si>
  <si>
    <t>Dionisio Bardají</t>
  </si>
  <si>
    <t>…llanueva de Duero ,' eortde de Vitlaríezo, mayordomo mayor del Sr. Infante D. Cárlos. ■ : Grandes cruces de la orden de Carlos ui. A los cardenales P. francisco Antonio Gardoqui y D. Dionisio Bardají, J). Bernardo tísorio, chantre de la santa-iglesia de Sevilla ; duque de Híjar; marques de las Hormazas", consejero de Estado, y aí barón de Friesen, mi nistro de S. M. el, Rey de Saxonia en 'esta corte. " ■ Cruces de número de la misma orden. ,A D. Francisco…</t>
  </si>
  <si>
    <t>Baretou, Pedro Crisólogo</t>
  </si>
  <si>
    <t>Pedro Crisólogo Baretou</t>
  </si>
  <si>
    <t>…lana, llamada Doña, María'Enr catnacion González, que en el año de 1812 pasó de la ciudad de Palma, en lá isla de Mallorca, á la de Alicante, se servirá manifestarlo al presbítero D. Pedro Crisólogo Baretou, en la calle de las Urosas, num. 9, cuarto bajo, quien tiene que co-. municarle un asunto de la mayor importancia. Se halla Vacante la cátedra de latinidad de la ciudad de Trujilló, cabeza de par tido de su nombre en Extremadura, cuya dotación anual son 300 d…</t>
  </si>
  <si>
    <t>Barón, Félix</t>
  </si>
  <si>
    <t>Félix Barón</t>
  </si>
  <si>
    <t>…D. Juan Delgado 200. :Núm.; 247. ÉLreverr rendísimo P. M. vicario general de una de las.cuatro -órdenes mendicantes^ por si y á nombre de jsu comunidad de, Madrid, 320. Nú». 248.,D. Félix Barón 80. Núm- T49•• D* F.? EL° 20. Núm. 2 50. Doña, ¡Estanislaa Gamboa 160. Ñúm', 2^51. D- ,Ñ. Joo.jÑúm. ¿252; Doña R. V. .60, Ñúm.. •2;53,?,ipoñJ C J. 200. Núm. 254.’ Pona B. S. 40. Núm: 255. Doña M;. M. yiL.1320. Núm. 256* D, F.íPé Jt* 300. Núm. 257. Doña M. A P…</t>
  </si>
  <si>
    <t>Baronesi, Nicolás</t>
  </si>
  <si>
    <t>Nicolás Baronesi</t>
  </si>
  <si>
    <t>1238</t>
  </si>
  <si>
    <t>…D. Francisco Carraledo, y unos 86 individuos de tropa; habiendo sido heridos de este cuerpo el capitán comandante accidental D. Juan Delgado, y los subtenientes D. Mi guel Rubio y D. Nicolás Baronesi, y 5 7 soldados. Del cahtotl del Potrero han muerto el capitán llamado Timoteo, 4 sargentos y i8&gt; soldados, y han sido heridos el capitán D. Julián Matos y 8 soldados. Del de Huere han muerto 2 sargentos y 10 soldados, y 7 heridos. De las milicias de S. Mateo…</t>
  </si>
  <si>
    <t>Barradas</t>
  </si>
  <si>
    <t>…nos., ,,Se han tomado también 29 caballos, que he hecho pasen á un potrero i reponerse para remontar la caballería cuando se hallen en estado ; y se. han presentado hasta ahora al Sr. Barradas, á:recibir la gracia, del Real indulto,;en todo el distrito de su cargo 247 individuos, inclusos 13 cabecillas,.sin,contar ocho que nombra el documento número 3.0 del parte del Sr;. Barrada?, cu3 yas listas nominales no dirijo á V.E. ahora para que les expida…</t>
  </si>
  <si>
    <t>…a 25 de Noviembre de 1818.= Excmo. Sr. = Ciríaco de Llano.= Excmo. Sr. virey D. Juan Ruiz de Apodaca.” S. El ha mandado dar lás debidas graciés en nombre del Rey nuestro Se ñor ai coronel Barradas por la buena conducta militar que ha tenido en la conducción á V eracruz y su vuelta de un convoy tan crecido, y ha aprobado fes disposiciones que tomó él comandante general brigadier D. Ciríaco de Lla no para proteger su marcha. Madrid l£&gt; de Mayo, ARTICULO…</t>
  </si>
  <si>
    <t>Barradas, Josef</t>
  </si>
  <si>
    <t>Josef Barradas</t>
  </si>
  <si>
    <t>…cio del brigadier y comandante general D. Ciríaco de Llano. ,,Excmo. Sr. : Elevo á manos dq V\ E. el parte original que de sus últi mas operaciones me ha dirigido desde Actopan el coronel D. Josef Barradas. ■ „En él verá. V. E. la completa pacificación del Arenal y Monteverde; y por tanto es de mi deber reiterar á V. E. mis anteriores recomendaciones á favor deí gefe y oficiales, que á costa de indecibles penalidades y fatigas, en un tiempo tan cruel de lluvias…</t>
  </si>
  <si>
    <t>Barragan</t>
  </si>
  <si>
    <t>Gaceta de Madrid n.º 49</t>
  </si>
  <si>
    <t>…noticia dé V. E. para isa snpterlorconoqíñiiéntaeiTÉíc tanto que recibo el parte circunstanciado; recomendando , como debo en jus ticia , el zelo y actividad del bizarro teniente coronel Barragan, qñe ño obs^ tante su quebrantada salud no cesa un momento de trabajar.. ,, Dios guarde á V. Er muchosaños. Vallad olid ¡i Se tiembrezde Excmo. Sr. = Matías Martin y Aguicre.'=Excmo. Sr. virey D; Juan iRuiz :de Apodaca.,f •• r . ; .&gt;:■ 'tu¡ L , :: /"I X lOr-v…</t>
  </si>
  <si>
    <t>…pañeros , también llarrfádos'oficiales , egecutada por el capitán de dragones fieles del Potosí* D. Fstéban Motezuma, en cuya vista prevengo á V. S. dé á este oficial* al teniente coronel Barragan y tropa de su cargo las gracias en nombre dei Rey nuestro Señor ¿ y le acom paño el despacho de grado de teniente coronel, que en el mismo Real nona-? bre he concedido al citado Motezuma por; sus rUultiplicadpS; distinguidos servimosy el de que trara. el expr…</t>
  </si>
  <si>
    <t>Barragan, Miguel</t>
  </si>
  <si>
    <t>Miguel Barragan</t>
  </si>
  <si>
    <t>…Valladolíd D. Matías Martin, y Aguirre. „ Excmo. Sr.: El comandante militar de Pátzcuaro teniente coronel Don Juan Amador me dice con fecha 13 del corriente que el de igual clase Don Miguel Barragan en su élíima correría al oriente de su línea logró alguna» ventajas, y entre ellas lá prisión de los titulados coroneles extrangeros Nicolson y Yurtis, cuyo parte todavía no he recibido. ,, También tengo noticia por mis confidentes de que el de la misma gra d…</t>
  </si>
  <si>
    <t>…oronely, copiantfante 2&gt;. Matías Martin y Aguirre.. ,, Excmo. Sr.: Acompaño á V. E. para su debido superior conocimiento el parte circunstanciado de la acción, que dio el teniente coronel D. Miguel Barragan el 31 dé Marzo próximo pasado en la hacienda de Tomendan á la gavilla del rebelde Chivilini, de que pasé á V. E. el correspondiente aviso ent oficio, número 62 de 12 del presente.. ,, Son dignos de la alta consideración de V. E. este gefe y los. dos ayu dante…</t>
  </si>
  <si>
    <t>hombres montados y armados; y en su correría por las entradas del bajío ha. aprehendido otros rebeldes. ,,Las secciones que mandan el teniente coronel D. Miguel Barragan y el sargento mayor D. José f de Castro han logrado en sus correrías pequeñas ventajas contra ios rebeldes; y en las guarniciones, destacamentos y lo restan te de la provincia no ha ocurrido novedad. ,,Dios guarde á V. E. muchos años. Valladoiid Junio io de 1…</t>
  </si>
  <si>
    <t>…a que tuve el honor de mandar , la recomiendo á vmd i particularmente. „ Dios guarde á vmd. muchos años. Ario; 23 de Agosto de j 81 = Es,té-f ban Motezuma. =• Sr. teniente corOneJ D. Miguel Barragan/,’ . . -} Contestación de S. E. ai oficio anterior del coronel 'y comandante ¿éneral jD. Matías Martin y Aguirre. ,,Por el parte que V&gt; S, acompaña á su.oficio número 210 de 7 del pre sente me he impuesto circunstanciadamente de la prisión del titulado brigad…</t>
  </si>
  <si>
    <t>Barragan, Miguel Francisco</t>
  </si>
  <si>
    <t>Miguel Francisco Barragan</t>
  </si>
  <si>
    <t>…ral D. Matías. Martin y Aguirre^ 1.® „ Exento. Sr.: Con fecha 25 del pasado me dice el comandante de Patzcuaro, teniente coronel D. Juan Oviedo, haberle avisado el de igual cla se D. Miguel Francisco Barragan, comandante de la demarcación de Ario, que una partida de las suyas había hecho prisionero al rebelde sanguinario Pedro Carvajal, titulado brigadier. ,, Este monstruo es conocido *en la provincia por sus hechos escandalosos? y luego que reciba el parte duplic…</t>
  </si>
  <si>
    <t>Barraicoa, Gnagorio</t>
  </si>
  <si>
    <t>Gnagorio Barraicoa</t>
  </si>
  <si>
    <t>…29 del próximo mes de Mayo, á la hora de las 11 de su mañana, en la audiencia de dicho señor, sita en lá calle y casa de la Cruzada, cuarto principal, Portel juzgado ordinario dd Sr. D. Gnagorio Barraicoa .alcalde mayor de la ciu dad de Zaragoza, y oficio de D. Domingo de Ha.ta, escribano de ,su numere, y á vírtiid de comisión del Sr. L&gt;. Manuel. Josef de .4rblzü,.dei Consejo dé,S. M,. al calde en su Real Casa y Corte, sé están subastando para"pago dé acreedor…</t>
  </si>
  <si>
    <t>Barraiébay, Gregorio</t>
  </si>
  <si>
    <t>Gregorio Barraiébay</t>
  </si>
  <si>
    <t>Gaceta de Madrid n.º 69</t>
  </si>
  <si>
    <t>…nuestro Señor tiene mandado,observar en lp relativo á todos éstos artículos, y que se halla venaren la portería de la misma Real junta superior de Medicina. i. Por el jtrzga&amp;ó de D. Gregorio Barraiébay alcalde mayor áe la ciudad dé'Zara goza , y para pagó 'de Acreedores, se estáh ■Súbástírídb las fincas siguientes1: üná ¿asa grande sita én d.cha ciudad y su calle dél Coso^sin número, tasada en 571,670 ráí. y 25 mrs.*. un olivar llamado de Larraldé Véi/W tér…</t>
  </si>
  <si>
    <t>Barreda, Fernando Bustillos y</t>
  </si>
  <si>
    <t>Fernando Bustillos y Barreda</t>
  </si>
  <si>
    <t>■* Rüiz y Rato, D. Fulgencio Fajares y Velando, D. Josef Osorjo y Mallen, £&gt;. Carlos Orive-y Torres,: D. Fernando Bustillos y Barreda, D. Manuel Bustilíos y Barreda, D. Josef Bustillos y Barreda y D. Pedro Ponce y Riquelme. Con la de 8 de idem: D. Federico Vargas y Mathews, D. Francisco Vargas y Mathews, D. Cayetano Pilón y Tovalina, D. Calixto Paredes y Lardin, D. Josef Castellani y Ximene…</t>
  </si>
  <si>
    <t>Barreda, Josef Bustillos y</t>
  </si>
  <si>
    <t>Josef Bustillos y Barreda</t>
  </si>
  <si>
    <t>■* Rüiz y Rato, D. Fulgencio Fajares y Velando, D. Josef Osorjo y Mallen, £&gt;. Carlos Orive-y Torres,: D. Fernando Bustillos y Barreda, D. Manuel Bustilíos y Barreda, D. Josef Bustillos y Barreda y D. Pedro Ponce y Riquelme. Con la de 8 de idem: D. Federico Vargas y Mathews, D. Francisco Vargas y Mathews, D. Cayetano Pilón y Tovalina, D. Calixto Paredes y Lardin, D. Josef Castellani y Ximenez , D- Francisco Nuñez y Pascual, D. Pedro Junquera y Velez, D. Josef Butrón y…</t>
  </si>
  <si>
    <t>Barreda, Manuel Bustilíos y</t>
  </si>
  <si>
    <t>Manuel Bustilíos y Barreda</t>
  </si>
  <si>
    <t>■* Rüiz y Rato, D. Fulgencio Fajares y Velando, D. Josef Osorjo y Mallen, £&gt;. Carlos Orive-y Torres,: D. Fernando Bustillos y Barreda, D. Manuel Bustilíos y Barreda, D. Josef Bustillos y Barreda y D. Pedro Ponce y Riquelme. Con la de 8 de idem: D. Federico Vargas y Mathews, D. Francisco Vargas y Mathews, D. Cayetano Pilón y Tovalina, D. Calixto Paredes y Lardin, D. Josef Castellani y Ximenez , D- Francisco Nuñez y Pascua…</t>
  </si>
  <si>
    <t>Barrera, Juan</t>
  </si>
  <si>
    <t>Juan Barrera</t>
  </si>
  <si>
    <t>…da á dicho juzgado y escribanía dentro de 3,0 dias, contados desde ia pu blicación de este anuncio, que se le admitirán siendo arregladas. A instancia de los herederos del difunto D. Juan Barrera , vecino que fue de esta corte, y en virtud de providencia del Sr. D. Martin de Gaztañaga, del Consejo de S. M., su alcalde de Casa y Corte, refrendada del escribano de provincia y co misiones dé la misma E). Manuel López de Rivas, se ha mandado celebrar junt…</t>
  </si>
  <si>
    <t>Barreras, Francisco de Jas</t>
  </si>
  <si>
    <t>Francisco de Jas Barreras</t>
  </si>
  <si>
    <t>…1 x de su mañana’, en la sala segunda de señores alcaldes de la Real Casa y Corte de S. M. ' * A instancia de los comisionados en la liquidación de créditos de la testamentaría de D. Francisco de Jas Barreras, vecino y del comercio que fue en esta corte, y en virtud de providencia del Sr. D. Martin'de Gáztañaga, del Consejo de S. M,, su al calde de Casa y Corte, autorizada del escribano de provincia y comisiones de la mis ma D. Manuel López deRivas, sé ha acordado…</t>
  </si>
  <si>
    <t>Barreras, Manuel Perez y</t>
  </si>
  <si>
    <t>Manuel Perez y Barreras</t>
  </si>
  <si>
    <t>…pes. Balmaseda, hijo, de Vitoria; se servirá .avisarlo con Ia brevedad posible á D. Ignacio Vicente de Errasti, en la villa de Azpeítia, provincia de Guipúzcoa , ó en esta corte á D. Manuel Perez y Barreras, que vive plazuela de S, Esteban á S. Felipe (vulgo de los Pájaros), nu mero 10, cuarto principal; teniendo presente que dichos vales se hallan ¿reclamados en Ja oficina de Renovación, y no podrá hacer uso de ellos el tenedor. Se halla vacante lá plaza de cir…</t>
  </si>
  <si>
    <t>Barrio, Josef del</t>
  </si>
  <si>
    <t>Josef del Barrio</t>
  </si>
  <si>
    <t>…D. Jüan Raut ista Arechederreta: , Asimismo se ha dignado S. M. nombrar paira da jplazíá de oidor de la Real audiencia de Sta. Fe, vacante por fallecimiento de D. Miguel Novas, á Don Josef del Barrio: para.otra plaza de oidor de la Real -audiencia dé Ghíircas4, vacañte por; promoción de D. Manuel Josef de Reyes á regente de la misma, i D. Mateo Mágariños ;! yapara el’empleó' dé teniente asesor de la Paz en eí vireinato del Perú á D. Francisco de Paula Rae…</t>
  </si>
  <si>
    <t>Barroso, Francisco</t>
  </si>
  <si>
    <t>Francisco Barroso</t>
  </si>
  <si>
    <t>…con: anticipación aposté, dirigió con tal serenidad y acierto sus fuegos, que obligó al enemigoáhuir desordenadamente, causándoles una gran pérdida, entre ellos la de su temerario coronel Francisco Barroso. Concluida esta operación, reconocí el campo , y á la distancia de tiro de cañón de mi formación avisté en el declive de una loma tres escuadrones de caballería y una gran columna de infantería, que me persuadí era la división de S. Diego, En este estado, vie…</t>
  </si>
  <si>
    <t>Bartolo-</t>
  </si>
  <si>
    <t>…cios que ha hecho durante la última guerra. Por otra de 28 del mismo mes se ha servido S. M. conceder el fuero mi litar y uso de uniforme de practicantes de farmacia de egército á D. Bartolo-: mé Gómez, residente en est^ corte; á D. Agustin Cano Hernández, en la ciu dad de Alicante, y á D. Juan Formenti, en la de Barcelona; declarando asi mismo S. M. le ha sido muy grata la cesión que respectivamente han hecho de Ja pensión, que con arreglo á la R…</t>
  </si>
  <si>
    <t>Basabru, Lorenzo de</t>
  </si>
  <si>
    <t>Lorenzo de Basabru</t>
  </si>
  <si>
    <t>…como constituido legítimamente en la procuraduría por su fallecimiento, lo es uno de 300 pesos de Ja creación de i.° de Mayo de 808, con el núm. 456,414 , siendo su último tenedor D. Lorenzo de Basabru; y como se ha solicitado por dicho procurador se le emplace en la forma ordinaria, se ha man dado por providencia de dicho señór, de 4 del corriente, se le cite, como por el presente se le llama y convoca, para que en el término de 30 días, que por primero y…</t>
  </si>
  <si>
    <t>Bassecourt, Luis Alejandro</t>
  </si>
  <si>
    <t>Luis Alejandro Bassecourt</t>
  </si>
  <si>
    <t>…, y para vocales de ella al'Sr. D. Tomas Aparicio Santin, colector general de Espolios y Va cantes, y á los tenientes generales D. Joaquín María Velarde, marques de Monsalud,; y á D. Luis Alejandro Bassecourt; siendo su soberana voluntad qué los pretendientes á esta distinción presenten por sí ó por sus agentes sus solicitudes con Jos documentos correspondientes ante este ministerio, de donde ke;pásarM 1 V. E. para el debido examen de la junta, quien déspfues .de'…</t>
  </si>
  <si>
    <t>Basta</t>
  </si>
  <si>
    <t>…de Estado, al marques de Aragón, al .marques de Aramonf al barón de Barente, consejero de Estado, al teniente general conde Becker, al primer presidente del tribunal. Real 4e León barón Basta d de l’Etang, al conde Belliard, aI conde.-Raimond de Berenger , á nuestro piimo el mariscal duque de Conegliano, al teniente general ¿onde de Claparele, al conde Chaptal, al marques de Gatelan , á nuestro primo el chiqtie-dé-Cadore , al conde Colchen, al con…</t>
  </si>
  <si>
    <t>Basterra, Francisco Roberto</t>
  </si>
  <si>
    <t>Francisco Roberto Basterra</t>
  </si>
  <si>
    <t>…ndada del escribano de provincia IX Luis López de Castro, se cita, llama y emplaza por segundo.término de 20 dias, contados desde el en que se anun cíe en la gaceta ministerial, á D. Francisco Roberto Basterra, soldado que fue del regimiento'‘infantería de la Princesa, sus hijos ó sucesores, para que por sí ó pojr ihedio dé! procurador con; Suficiente poderjsalgan á lá declaración de herederos que tienen solicitada Doña Damtaná Oíáz dé-Düraha, viuda de D. Juan Joaq…</t>
  </si>
  <si>
    <t>…no de provincia y comisiones D. Luis López de Cas- tro, se cita, llama y emplaza por tercero, ultimo y perentorio término de 15 dias, contados desde su publicación en la gaceta, á D. Francisco Roberto Basterra, sóida: dp que fue del regimiento infantería de la Princesa, sus hijos ó sucesores, para que por sí ó por medio de procurador, con suficiente poder, se muestren parte á la de claración de herederos que se solicita por Doña Damiana Díaz de Durana, viuda de D.…</t>
  </si>
  <si>
    <t>Basterra, Rodriga Francisca de</t>
  </si>
  <si>
    <t>Rodriga Francisca de Basterra</t>
  </si>
  <si>
    <t>…medio de procurador, con suficiente poder, se muestren parte á la de claración de herederos que se solicita por Doña Damiana Díaz de Durana, viuda de D. J uan- Joaquín Basterra, y Doña Rodriga Francisca de Basterra, madre y hermana . respective del D. Francisco; con apercibimiento que no verificándolo dentro de di cho término les parará el perjuicio que haya lugar. Se halla vacante el partido de médico titular de la villa de Mombeltran, provin cia de Toledo, distante si…</t>
  </si>
  <si>
    <t>Basterrechea, Juan de</t>
  </si>
  <si>
    <t>Juan de Basterrechea</t>
  </si>
  <si>
    <t>…y cón' sí efe meses de iñstruccion, dijo de -palabra todo el alfabeto, las partes del cueirpo(hu'mano, y ana ihfíní— dad de objetos q«e‘se le presentarori á la vista': es-hijo dé D. Juan de Basterrechea, del comercio1 de Bilbao, y natural de la misma villa. Este examen no debe considerarse sino como un ensayo para demostrar dos conocimientos del maestro en este árte j que tiene por objeto suplir las faltas de la naturaleza en los3 sordo-mudostan dignos de co…</t>
  </si>
  <si>
    <t>Bathurst</t>
  </si>
  <si>
    <t>34</t>
  </si>
  <si>
    <t>…o en la secretaría de Negocios extrangeros, donde ha tenido una larga conferencia con lord Castlereagh ; después pasó al departamento de las Colo nias, y estuvo despachando con el conde Bathurst. A las cinco de la. tarde fue á casa del comandante en ,gefe, y luego estuvo en compañía del duque de Yorck hasta el anochecer. -v rL'os misioneros de Madagascar Mrs. Be.van v Jones escriben con fecha de 9 de Julio*desde Puerto Luis, en la isla de Francia, ad…</t>
  </si>
  <si>
    <t>…ra la casa de Bonaparte, prefiriendo la mejor harina, y que por consecuencia es excelente. El agua es fréscá , data yJ cmjaíiná.vSé dijo en las observacio nes sobre el discurso de lord Bathurst, impresas en Londres, que la casa de Longwood no tiene sombra ni aguary que esimuy calurosa El mismo nom bre de la casa debió hacer desde luego sospechosa tal aserción: está aquella si tuada muy cerca de un bosque dilatado (qué esto significa a long ivpoa), d…</t>
  </si>
  <si>
    <t>Baudin</t>
  </si>
  <si>
    <t>…en París. Esté molino, que no tiene de coste mas que 60 francos, da 20 y 25 libras de ha rina en una hora , y le maneja un solo hombre. El naturalista Mr. Lesueur, que acompañó al capitán Baudin en su expe dición á las tierras australes, recogió en el lago Erié peces de agua dulce, al gunos de los cuales envió.al museo de historia natural de París, y otros que condujo vivos á Filadelfia en barcos de vapor determina traerlos á su patrfo para poblar nu…</t>
  </si>
  <si>
    <t>Bausiií, Antonio</t>
  </si>
  <si>
    <t>Antonio Bausiií</t>
  </si>
  <si>
    <t>…mas del Dos de Mayo. ARTICU L O DE 5 OF ICIO. ^ • * * ' i Por .Real resolución de 3 delpresente mes, á consulta del Consejo supre mo de la Guerra, se lia servido S. ,M. conceder á D. Antonio Bausiií, fariña-, qéuticp én ¿a villa de Igualada , qf fuero militar y uso de uniforme de prac ticante dq &gt;fa3rmacia( de egército.que le corresponde con arreglo al artículo 2.0 de Ja Real.orden, circular dé 19 dé Junio! dé .1815 , por haber servido en ésta *lase en l…</t>
  </si>
  <si>
    <t>Bautista'Reyes, Juan</t>
  </si>
  <si>
    <t>Juan Bautista'Reyes</t>
  </si>
  <si>
    <t>…cediéndosedé fos;límitesdéí deber ; por consiguiente todos todos son muy ‘acreedores á sér reébrtiperisa&amp;ÓS :’i!á p'ésár de ello debo recomendar á V. E. encarecidamente al bizarro D. Juan Bautista'Reyes, á ios heridos ca pitán D. Benito Eernandez y subteniente D. Ángel Fiorez ; al teniente coro nel D. Juan Tolrrá, que por cubrir el servicio de: aquel dia se halló en van guardia, y sostuvo lo. mas fuerte de la acción; al teniente coronel, comandante del prime…</t>
  </si>
  <si>
    <t>Bautista, Cayetano</t>
  </si>
  <si>
    <t>Cayetano Bautista</t>
  </si>
  <si>
    <t>…osef de Madrid, por limosnas quede han dado dos feligreses suyos, 10c. Núm. 65 Miguel Fernandez, aguador de S. M., 20. Núm. 66. D. B. D. 300. Núm. 67. D. Pedro Sedaño 200. Núm. 68 D. Cayetano Bautista 25. Núm. 69. Don Santiago Antonio de Unza 80. Núm. 70. D. A. E. 70. Núm. 71. D. Domin go Riesco 60, Núm. 72. El Excmo. Sr. D. Joaquín Blake ico. Núm. 73. Don M. B. 60. Núm. 74, D. N. C. 320. Núm. 75. D. J. M. 60. Núm. 76. Don J. S. 160. Núm. 77. D. N. C. 20.…</t>
  </si>
  <si>
    <t>Bautista, Juan</t>
  </si>
  <si>
    <t>Juan Bautista</t>
  </si>
  <si>
    <t>…Nueva-España.: i i asi Oficio del brigadier y comandante general I). Ciríacot dé1 a = ,, Exemo. Sr.l: 'Aoóinpáfiorá V. E. origínales el parte-que nie.femitp el espitan de fragata D. Juan Bautista 'Tapete, y el que ledáel.capitán D. Pe-: dro Monzon, referentes á la sorpresa que en el rumbo de: la Estanzuela hizo* este á la gavilla del cabecilla Tinoco. ' n „Dios guarde á V. E. muchos añps. Jalapa Octubre 31 de 18rS.=:Ex celentísimo Sr.=Ciríaco de Llano…</t>
  </si>
  <si>
    <t>Bd, Bernardo</t>
  </si>
  <si>
    <t>Bernardo Bd</t>
  </si>
  <si>
    <t>…en Cuenca en la de D. Manuel Faustino de César; en Badajoz en la del Dr. D. Jaime Brancos; en Plasencia en la de D. JoseCP io López.Samaniego; en Villanueva de la Serena en la de D. Bernardo Bd^tip’enGranada en 'la del Dr. D. Manuel Lope? Mateos; en Málaga en la del T&gt;r. D., Jaime Alibau;.en Vigo en la del Dr: D. Julián Perez; en Santiago én la de D. Pedro Romero; enójense en la de D. Joaquin Vallverdu; en Betanzos en la, del Dr. D. Rosendo Fariñas;…</t>
  </si>
  <si>
    <t>Bdrtaubdliy</t>
  </si>
  <si>
    <t>…lon^ qué leí sirve de tsécretario / paravextlendéí* dus? meindriosi tCerme: jt 4la8pt#és ¿e ; la ^tarde ó antes, iyilas^nsos ’yeces rolo;, a»¿q«éí sueleri/ acompañarkíalgmi otro . general Bdrtaubdliy. rM muget^ ó íMbiíMoniholom -Después? de co-</t>
  </si>
  <si>
    <t>Be</t>
  </si>
  <si>
    <t>1190</t>
  </si>
  <si>
    <t>…to que ha contraído la tropa de mi man do en este día, y muy particularmente á los capitanes D. Juan Josef Hidal go, herido con dos balazos; D. Antonio Vázquez, que salió contuso; D. Be* nito Boves y D. Francisco Sainz; los tenientes D. Hilario Noguera; D. Juan Bolet, D. Josef Antonio García y D. Benito Ostos; los subtenientes D. Fran cisco Bolet y D. Manuel Rodríguez; los sargentos primeros Agustín Luqué y Pascual Soto, y los segundos Pedro…</t>
  </si>
  <si>
    <t>Beatriz</t>
  </si>
  <si>
    <t>…a á la ante cedente, asciende á 384891 rs. y 23 mrs., de que deberán deducirse 89130 rs. so bre que se fundaron los dos patronatos que dispuso Doña Juana Caldera Freile, hijade la Doña Beatriz, en el convento que fue de Sta. Clara de esta corte, y i cuy©</t>
  </si>
  <si>
    <t>Beauharnois, Eugenio</t>
  </si>
  <si>
    <t>Eugenio Beauharnois</t>
  </si>
  <si>
    <t>1136</t>
  </si>
  <si>
    <t>1136 infelices, pues solamente volvió á la vida tiñóle los hijos de edad de 12 años. Se han puesto precipitadamente en camino para Munich el Príncipe Real, el príncipe Eugenio Beauharnois y el mariscal Wrede, á consecuencia de órdenes que han recibido del Rey de Baviera por correos extraordinarios, convocándoles á un consejo de Estado, que ha de presidir S. M. en persona, y donde se acordarán las instrucciones que se han de comunicar á los min…</t>
  </si>
  <si>
    <t>Beaulaincours, Augusto</t>
  </si>
  <si>
    <t>Augusto Beaulaincours</t>
  </si>
  <si>
    <t>…y Sierra al matri monio que contrajo con el D*. Jaime; en cuyos autos se ha servido mandar dicho su premo tribunal en providencia de. 14 de este nías, sé cité , llame y emplace á Don Augusto Beaulaincours, conde de Marles, para que en el término de 60 dias, con tados desda la publicación de éste anuncio, comparezca por sí ó por medio de pro curador con podar bastante■ á’decir y exponer lo que le convenga en dichos autos; con prevención de que pasados sin haber…</t>
  </si>
  <si>
    <t>Béáuláiricoúrs, Augusto</t>
  </si>
  <si>
    <t>Augusto Béáuláiricoúrs</t>
  </si>
  <si>
    <t>…ndo y Sierra al matri monió que contrajo con el D. Jaime; én cuyos autos'se ha servido mandar dicho su premo tribunal en providencia de 14 ,de este mes se cite ,.llame y emplace á Don Augusto Béáuláiricoúrs, conde de Maries , !paj,alijúé en' el‘término dé 60 días, con tados désde la publicación de este uñtmcib\f cótnparézca *pbf; sPó por medió jde pro curador con poder ' bastante á decir y exponerTó que lé 'convenga en dichos. autos; con prevención- dé-^qué pasá…</t>
  </si>
  <si>
    <t>Becerra, Pedro</t>
  </si>
  <si>
    <t>Pedro Becerra</t>
  </si>
  <si>
    <t>…que no podríamos lograr el salir del expresado valle. ,, Previendo el designio del enemigo y disposiciones que habría ,tomadO| hice salir á las doce de la noche con su compañía al capitán D. Pedro Becerra de cazadores de Extremadura, con orden de apoderarse á favor de la oscuri dad del ^principio de la indicada quebrada^ arrollando los enemigos que .en contrase én él: este bizarro oficial cumplió dignamente ei encargo .que se le confió, pues á la entrada de la…</t>
  </si>
  <si>
    <t>Becker</t>
  </si>
  <si>
    <t>…het, al marques de Angosse , al conde de Ar-* gout, consejero de Estado, al marques de Aragón, al .marques de Aramonf al barón de Barente, consejero de Estado, al teniente general conde Becker, al primer presidente del tribunal. Real 4e León barón Basta d de l’Etang, al conde Belliard, aI conde.-Raimond de Berenger , á nuestro piimo el mariscal duque de Conegliano, al teniente general ¿onde de Claparele, al conde Chaptal, al marques de Gatelan , á…</t>
  </si>
  <si>
    <t>BéingOfea, Anselmo</t>
  </si>
  <si>
    <t>Anselmo BéingOfea</t>
  </si>
  <si>
    <t>…a der hónoiVcayosí individuos é&amp;ahM árInados dé üna\ó£fabínav una &gt;p$&amp;oIá', prnibachete^/iina lanza y úna dúg&amp; Con esta noticia "se dirigió á aquel puntóla -media noche él oficial D. Anselmo BéingOfea cón los sargentos Carlos Benaventev -Feodoró Miranda y 28 hom4 btéSJJgdiádo¥ por Atejo; Rbdfiguez,;qne fueébprimérq(que^ocupó la puerta dé? llá‘ Vrvieridaén &lt;qiíe losírébeldes/sb alojaban:: sú resistencia obligó á .que íse ftfeiéSe‘Fuégo^dé? cuyas íresaltasr…</t>
  </si>
  <si>
    <t>Beirran, Lorenzo Gano</t>
  </si>
  <si>
    <t>Lorenzo Gano Beirran</t>
  </si>
  <si>
    <t>…go én la de D. Pedro Romero; enójense en la de D. Joaquin Vallverdu; en Betanzos en la, del Dr. D. Rosendo Fariñas;,-en ALcarjtjz en La de D. Ramon Villalba; en Caíatayud en ia de D. Lorenzo Gano Beirran; en Un Castillo en la de D. Paulino Gil; en Jaca en la de D. Josef Mora ; en Teruel en la de D. Antonio Herrero; en Zarago za en la del'Lie:’D» Mariano Herrando; en Alicante en la de D. Francisco Sarget; en-Cartagena en/la dcXDr. D. Juan Josef Franco;.en Orih…</t>
  </si>
  <si>
    <t>Bel</t>
  </si>
  <si>
    <t>…marle un oficial , dos cabos , nueve sol dados , tres paisanos, una bandera que acababa de recibir Rojas por premio de sus acciones én la campaña de Jujui y Salta, remitida por su general Bel* grano, una carga de municiones y siete cavalgaduras ensilladas, con dos car-' as de equipage qüe se repartió á la tropa. El 15 pasamos á las pampas de niguaso, y el 16 me adelanté-con ;la caballería y dos compañías de infantería¥ hasta el fuerte de Itau, de…</t>
  </si>
  <si>
    <t>Beldrof, Luis</t>
  </si>
  <si>
    <t>Luis Beldrof</t>
  </si>
  <si>
    <t>…contratos ma trimoniales del Rey nuestro Señor, alumbrándole un ayuda del Real guarda muebles de S. M, con uno de los candeleros que había sobre esta mesa. Conclui da su lectura, D. Luis Beldrof, con un ayuda del Real guardamuebles, pusie ron delante del Rey nuestro Señor otra mesa, que estaba prevenida, y firmó S. M., sirviéndole el tintero D. Juan Miguel Grijalba, ayuda de Cámara de S. M., su secretario de Cámara. Debajo de la firma de S. M. pusier…</t>
  </si>
  <si>
    <t>Belety, Bernardo María</t>
  </si>
  <si>
    <t>Bernardo María Belety</t>
  </si>
  <si>
    <t>…el principado de Cataluña: á D. Mauro del .Prado, re sidente en la ciudad de León: á D. Francisco Romero,, cirujano del mteblo de Castejon de las Armas, en el reino de Aragón; y á D. Bernardo María Belety(, cirujano titular de Villanueva déla Serena, en la provincia de Ext ¿remadura. Y por otras de la misma fecha se ha servido conceder el fuero militar y «so de uniforme de practicante de Farmacia de egército á D. Jorge Casadesus, residente en la villa de Sevad…</t>
  </si>
  <si>
    <t>Belezflái</t>
  </si>
  <si>
    <t>…ntrarios.. &gt;.% 1 r ‘•' f'fft r*'/v V f ' '• J O/TI' AUSTRIA 0: *i. n¿[r * C,• - J '( •''■'xyj muí ‘¿il'.í-.i- X . Viena ^J^e^aypi Ha salado, para Italia fla jnadre; del. J^rriciáa conde Belezflái ¿e'Qfeñ 4 pe dir al Emperador íá conmutación de lá ,jpe,qaL capital que se ha, impuesto á su re$ulm;de^axaus^;^ ei desgraciado padre era %ufepact/rt^^ Wlm*P* contribuir a pervertir el derhijo. ; Se han recibido de Roma pliego^ según dicen, son de suma impor t…</t>
  </si>
  <si>
    <t>Bellesnay</t>
  </si>
  <si>
    <t>…desechado la petición de los mercaderes y fabricantes alema nes sobre ia supresión de las aduanas en el interior de la Confederación. ■ ■ ¡ - •&gt;••• r Idem. 2.4-' :.,.E1 parricida barón Bellesnay no.ha podido conseguir indulto de S. M. el Emperador de Austria, aunque ha venido Si M. en conceder .que ap se le corte la mano, y será decapitado esta semana en Pest. PAISES-BAJOS-UNIDOS. - Brttsélai 2 5 de. Junio. r Ayer-á las nueve de la noche entró e^Rey…</t>
  </si>
  <si>
    <t>Belliard</t>
  </si>
  <si>
    <t>…ón, al .marques de Aramonf al barón de Barente, consejero de Estado, al teniente general conde Becker, al primer presidente del tribunal. Real 4e León barón Basta d de l’Etang, al conde Belliard, aI conde.-Raimond de Berenger , á nuestro piimo el mariscal duque de Conegliano, al teniente general ¿onde de Claparele, al conde Chaptal, al marques de Gatelan , á nuestro primo el chiqtie-dé-Cadore , al conde Colchen, al conde Cornudet, á nuestro primo el…</t>
  </si>
  <si>
    <t>Bellido, Rafael Granado</t>
  </si>
  <si>
    <t>Rafael Granado Bellido</t>
  </si>
  <si>
    <t>…or'sitip de Salas,, con la ortografía de la misma: D. Tomas García, con la co lección de autores latinos de Lozano: D. Miguel Granado García, con la gra. marica latina de Aráujo : D. Rafael Granado Bellido , con la castellana del mismo, y 1). Nicolás Villar in, príncipe de la doctrina, con el catecismo completo de Fleuri, , ' Conma 3 de Agosto. Este Real consulado, en cumplimiento de lo prevenido por S. M. env el ar tículo ó.0 del método de estudiosa que se arr…</t>
  </si>
  <si>
    <t>Bello</t>
  </si>
  <si>
    <t>69) aproximaba la noche* ¿determiné:retroceder á la entrada del indicada monte donde había dejado*al capitán Bello con dos!cajones de -municiones y, los. po cos víveres, que infi. quedaban &gt; ,oojhóUo verifique á ^as oraciones, habiendo conseguidoquirar al enemigo 5 prisioneros que llevaba, 9 fusiles, matarle 1 7 hombres, hacerle muchos heridos, y seis prisioneros que mand…</t>
  </si>
  <si>
    <t>Bello, Manuel</t>
  </si>
  <si>
    <t>Manuel Bello</t>
  </si>
  <si>
    <t>…D. Fernando srti y sus derechos, siendo acreedores en esta ocasión todos los individuos de: que se compone la división al amor y gratitud de todo buen español, y en par ticular el capitán D. Manuel Bello, quien con el mayor orden y serenidad sobre su marcha batió á los rebeldes que se le opusieron en el primer^encuen tro* En igual caso se halla el intrépido teniente D. Basilio Cano, qiie no cesó en todo el dia de. trabajar, arrojándose sobre el enemigo, y en…</t>
  </si>
  <si>
    <t>Belmore</t>
  </si>
  <si>
    <t>…La noticia que dieron los periódicos ingleses de la muerte de Mr. BellinEóni se.ha ckísmentido después por una carta de Ñapóles escrita por un sügeto digno de crédito, cual es el lord Belmore, que nace algún tiempo reside en Nápoles, adonde ha llegado de resultas de Un largo é importante viage que hizo á Egipto , á la Palestina, á Siria y á Troya, y ha recibido cartas del mismo Beilinzoni desde Tebas en el Egipto superior con fecha de 27 de Oc tub…</t>
  </si>
  <si>
    <t>Benavente, Jorge de</t>
  </si>
  <si>
    <t>Jorge de Benavente</t>
  </si>
  <si>
    <t>…n* aun sin otro auxilio que el de_la próvida naturaleza. • ESPAÑA. - Madrid 79 de Febrero. ARTICULO D E O F I C I O. El Rey nuestro Señor se ha se.rvido conceder su Real permiso á D. Jorge de Benavente , prebendado de la santa iglesia metropolitana de Lima, para po der usar la condecoración de la flor de Lis con que S. M. Cristianísima le ha condece? r ado qn premio de su,constan te adhesión a la augusta dinastía reinante. f -.Queriendo el Rey nuestro Señor…</t>
  </si>
  <si>
    <t>Benavente, Juan</t>
  </si>
  <si>
    <t>Juan Benavente</t>
  </si>
  <si>
    <t>…tería de Zaragoza capitán D. Juan Power, tenientes D. Joa quín Araujo, D. Juan Bautista Echeverría y IX Ramón Tajonar; subtenientes D. Francisco Campo Osorio, D. Santiago Bermejo, D. Juan Benavente y Don Tomas Cepero: del primero Americano capitán D. Joaquín Sánchez Badajoz; subtenientes D. Juan Calvillo y D. Francisco Alvarez: del provincial de Fer nando, vil subteniente D Manuel Cúbelo; y de caballería dragones de Pue bla teniente D. Cayetano Gesarini, y alférez D. jose…</t>
  </si>
  <si>
    <t>Benavides, Marcos</t>
  </si>
  <si>
    <t>Marcos Benavides</t>
  </si>
  <si>
    <t>…de los cabecillas titulados capitanes Manuel Salvador, Félix González y Mariano Cenobio salí de este punto con yo caballos , 50 de los indultados en estos dias , de la compañía de D. Marcos Benavides, y los 20 restantes de los realistas de extramuros de Veracruz; y después de cinco dias de continuas marchas y contramarchas acabo de regresar, dejando recor ridos los campos de Rajabanderas, Tamarindo, Paso del Fierro, Soy olapa, Paso de Naranjo, y todas las…</t>
  </si>
  <si>
    <t>Bencomo, Cristóbal</t>
  </si>
  <si>
    <t>Cristóbal Bencomo</t>
  </si>
  <si>
    <t>ii o6 El Excmo. é limo. Sr. arzobispo de Heraclea D. Cristóbal Bencomo, con fesor del Rey nuestro Señor\y director de esta piadosa suscripción, que des de el momento en que apareció la epidemia en Sevilla dio orden para que se empleara en socorro de los enfermos cuanto hubiese producido el arcedianato de Carmona que posee en aqu…</t>
  </si>
  <si>
    <t>Benedicto, Cayetano</t>
  </si>
  <si>
    <t>Cayetano Benedicto</t>
  </si>
  <si>
    <t>…on:, vacante por fallecí— miéntd de D. Ftáncisco Javier Montero y Losada; y para la de la yjíia dé Villafranca de los Barrbs,' &lt;^ue ló está porél de D. Isidro Mácía de Lleopact, á D. Cayetano Benedicto. A., w - A su.</t>
  </si>
  <si>
    <t>Bengoechea, Alejandro de</t>
  </si>
  <si>
    <t>Alejandro de Bengoechea</t>
  </si>
  <si>
    <t>de Ar tíñanos'en la de lengua inglesa I&gt;. Mariano de Endaya, D, Josef Krause y ¿. Matías de,Lejarcegui: eríja de matemáticas D. Alejandro de Bengoechea D. Josef Aquilino de Acha y D-Felipe de Equileor. Dignos deaccésit.: en h clase de la lengua francesa D. Juan de Garro, D. Vicente de Artiñano . y D. Francisco de Aldama: en la-de matemáticas D. Apolinar de Gardiasabai y D. Saturnino de Ochoa. . El numeroso concurso qué asistió á esta…</t>
  </si>
  <si>
    <t>Benicía, Manuel</t>
  </si>
  <si>
    <t>Manuel Benicía</t>
  </si>
  <si>
    <t>…ue observaron el dia de la acción es digna de especial elogio, por lo que- los he nombrado con particularidad.. ,, Son también acreedores á la recomendación de V. S. los tenientes Don Manuel Benicía y D. Antonio*Montesinos , que quedaron cubriendo la hacien da de Comiembaro-, porque ya no podían abandonarla , y esta necesidad sola mente pudo vencerlos- á quedarse; por lo que suplico á V S. tenga la bondad de recomendarlos todos á la superioridad del Excmo* Sr. vi rey…</t>
  </si>
  <si>
    <t>Benigno</t>
  </si>
  <si>
    <t>…-que la sociedad mande sugéto que conduzca y colo que la máquina hasta dejar instruido en SU manejo y demás al comprador, se le facilitará á sus expensas. Asi lo ha verificado con D. Benigno de la Torre, vecino y del comercio de Roa, inmediato á Aranda de Duero, que acaba de establecer una de dichas máquinas que está elaborando actualmente con satis facción del comprador. En virtud de providencia deí Sr. D. Joaquín dé Aímázan, del Consejo de S. M…</t>
  </si>
  <si>
    <t>Benito</t>
  </si>
  <si>
    <t>…da, con lo que paga el .clero á beneficio del profesor; bajo cuyos conceptos, los pretendientes que Ies acomodare la plaza dirijirán sus mctoioriales al ayuntamiento pcür mátio de D. Benito de la Iglesia, comisionado al efecto. Via Crucis. ó meditaciones sobre la pasión de nuestro Señor Jesucristo, sacadas del santo evahgeílo por el limo; i»*.-:IX Santiago Josef Bencomo , obispo que fue dé Astorga, Sc halUrá chía imprenta, de Di^ila , calle¿ de…</t>
  </si>
  <si>
    <t>Benito, Juan</t>
  </si>
  <si>
    <t>Juan Benito</t>
  </si>
  <si>
    <t>…ribuido á ello .con su sesmero • los ern^ pitados'del mismo establecimieñto , y el médico D. Francisco Amatriaiñ coii su buena y acertada asistencia. r i No satisfecho con esto él Sr. D. Juan Benito -HermosiUa-, del Consejó deS. M. en el de Castilla^ supériíitendente de dichos-baños, bajó la inmediatapróteéción de este supremo tribunal, ha extendido su benéfico é ilustrado ¿ejo á proporcionar á jos concurrentes; cuantas comodidades sean posibles ¿ encar…</t>
  </si>
  <si>
    <t>Benito, Manuel de Alvaro</t>
  </si>
  <si>
    <t>Manuel de Alvaro Benito</t>
  </si>
  <si>
    <t>…el cabildo de la santa iglesia de Segovia, repre sentado por el Sr. D. Pedro González de Vaüejo, obispo electo de Mallorca, dignidad de tesorero y canónigo de aquella catedral; y D. Manuel de Alvaro Benito, canónigo de la misma, y teniente vicario general castrense, tuvo el particular honor de felicitar á SS. MM. por su augusto enlace y besar sus Reales manos. El dia 23 del pasado tuvieron la honra de felicitar al Re? nuestro Señor por su augusto enlace, en nom…</t>
  </si>
  <si>
    <t>Benito-Villanueva</t>
  </si>
  <si>
    <t>…idor de esta muy heroica villa, se cita para jun ta general;, que. ha^dk celebrarse el 7 de Febre ro próximo á las lo de la mañana en la posada de S. S., á todos los acreedores de D. Benito-Villanueva, difunto, agente de negocios que fue en esta corte.</t>
  </si>
  <si>
    <t>Bentinck, William</t>
  </si>
  <si>
    <t>William Bentinck</t>
  </si>
  <si>
    <t>…rior de Manheim el proceso contra Sand para que pronuncie la sentencia competente. _ ITALIA. . Roma 3 de Noviembre. Aguardamos aquí al príncipe Caradya, ex-hospodar de Valaquia, á lord William Bentinck y'otros varios personages. De un día á otro déb.e llegar á Civitávechia la escuadra anglo-francesa, mandada por los almirantes Jusieü-Lagraverée y Freemantle, que fue á inti mar á las -potencias berberiscas las disposiciones del congreso de Aquisgran, y que c…</t>
  </si>
  <si>
    <t>Ber, María Teresa</t>
  </si>
  <si>
    <t>María Teresa Ber</t>
  </si>
  <si>
    <t>…aritmética por D. Antonio del Olmo, maestro Real del barrio de:^Comadre , á quien tocó por suerte entre los premiados por la junta él año anterior; y en labores de todo género por Doña María Teresa Ber jano; y Doña Josefa López, maestras con tituló del Real y supremo Con sejo^ Castilla, nombradas por la junta alefbeto.. El público de Madrid sabio é imparcial vio el buen orden y esmero con que. se hicieron estos exámenes, y el acierto con que en lo general c…</t>
  </si>
  <si>
    <t>Berenguel, Ramona</t>
  </si>
  <si>
    <t>Ramona Berenguel</t>
  </si>
  <si>
    <t>…farmacéutico 300. Núm. t33. D. R. S. 440. Núme ro 134. D. N. 40. Núm. 135. Doña R. B. 20. Núm. 136. D. Evaristo Vi cente Alvarez 120. Núm. 137. D. Rafael de Elorza 100. Núm. 138. Doña Ramona Berenguel 60. Núm. 139. D. P. P. 40. Núm. 140. D. N. 2®. Nú mero 141. El Exorno. Sr. D. Martin García y Loigorri 200. Núm. 142. Fé lix Fernandez, mozo sirviente, de su sueldo, 20. Núm. 143. D. V. y Doña M. 400. Núm. 144- Doña M. V. y M. 100. Núm. 14^. D. Francisco Mu ñ…</t>
  </si>
  <si>
    <t>Beresford</t>
  </si>
  <si>
    <t>i'4-6 a arder el día t .®(de Febrero desde el anochecer hasta la salida del sol. Muy pronto saldrá para Portugal el mariscal lord Beresford á tomar otra vez el mando del egércifo de los portugueses. Se aguarda por instantes en Francfort' á Mr.de Globig, embajador de Saxonin en Berlín, que va á suceder, conde de Gcertz, ministro plenipoten ciario de la misma corte cerca de "la* Dieta 'réunida en a…</t>
  </si>
  <si>
    <t>Bergada, Manuel</t>
  </si>
  <si>
    <t>Manuel Bergada</t>
  </si>
  <si>
    <t>…ios que ha contraído en la ultima guerra. , . Por otra de la misma fecha se ha* servido S. M. conceder; el fuero militar y uso de uniforme de,practicantes de cirugía de egército á D. Manuel Bergada, cirujano residente en la ciudad de Barcelona; »á D- Manuel Paul, ciru jano titular de la villa.de Peñaranda de Duero; á D. Ramón García, ciruja no titular- de: da villa de Robladura, en Castilla la Vieja; á D. Juan Luis,, cirujano titular de; la villa de Inf…</t>
  </si>
  <si>
    <t>Bergano, Antonio María</t>
  </si>
  <si>
    <t>Antonio María Bergano</t>
  </si>
  <si>
    <t>….Carde?a; e;n Gádiz. en la de Roquero; en Zamora en la de Vallecido; en Avila en casa del sqb.delegado; de la l^eqi jpnía D, Francisco González .Beato; en Alba de Tórnies eñ la de D. Antonio María Bergano; en Burgos en la del Lie. D. Cipriano López ; en Ciudad-Rodrigo en la de D. Julián Ledesma; en León en la de D. Santiago León; en Falencia en la de D. Francisco Polo; en el Burgo deOsma en la de D.Bar tolomé Rui/ ; eñ Segovla en la de D Bernardíno del Pozo; e…</t>
  </si>
  <si>
    <t>Bergé, Pedro</t>
  </si>
  <si>
    <t>Pedro Bergé</t>
  </si>
  <si>
    <t>…D. Vicente de Artiñano. Fá bulas de Samaniego, primero á D. Federico de Victoria. Dibujo, primero á D. Francisco Semprun. Idem segundo á D. Juan Ramón. Paternina. Idem ter cero á D. Pedro Bergé. Gramática castellana, primero á D. Josef Fernandez Molina. Idem segundo á D. Gregorio de Olaeta. Gramática francesa, prime ro á D. Miguel de Mazarredo. Idem segundo á D. Francisco Semprun. Gra-* mática.latina, primero á D. Ladislao Pedro de Ochoa. Idem segun…</t>
  </si>
  <si>
    <t>Bergído, Julián María</t>
  </si>
  <si>
    <t>Julián María Bergído</t>
  </si>
  <si>
    <t>…lecimiento de D. Manuel de Irigoyen, a D. Vicente Ródrigiiez Romano: para la alcaldía mayor de Nata, en la pro vincia de Panamá, vacante por cesación de D. Víctor de la Guardia, á Don Julián María Bergído: para el corregimiento del Asiento de Ambato, en la presidencia de Quito , al coronel graduado D. Jorge Ricaurte: para la asesoría del gobierno é intendencia-de Popayán, á D. Miguel de Nájera Meneos; y para la subdelegacion de Tinta, en la provincia del Cuzco…</t>
  </si>
  <si>
    <t>Berlín, Bernstorff de</t>
  </si>
  <si>
    <t>Bernstorff de Berlín</t>
  </si>
  <si>
    <t>Gaceta de Madrid n.º 151</t>
  </si>
  <si>
    <t>…y la enfermedad de su hijo; pero al mismo tiempo la permite S. M. pa sar á cualquier otro punto que elija, y se cree será la ciudad de Trieste. Mañana aguardamos aquí al ministro conde Bernstorff de Berlín. Idem jo. Cada día se hermosea mas y mas esta ciudad, y dentro de breve tiempo se permitirá pasar á ios carruages por el nuevo puente del Danubio , y por otro que acaba de construirse sobre el rio para facilitar la comunicación con el palacio de Schwarzemberg…</t>
  </si>
  <si>
    <t>Bermejo, Antonio</t>
  </si>
  <si>
    <t>Antonio Bermejo</t>
  </si>
  <si>
    <t>…s de honor D. Gines de Moya, que hacia las funciones de cura del Real palacio, D. Ramón Aguiriano, que hacia las de maestro de ceremonias, D. Blas-Prats, D. Domingo María Tordera, D. Antonio Bermejo, D. Tibureio Saez, D. Leandro Alvarez, D. Luis Ramírez Mon sal ve, D. Agustín de la Rica * D. Julián Arrea, D. Antonio Ramírez de Arellano y D. Pedro Gil; después de haber cantado nuevamente solemnes responsos la Real capilla, presidida por el limo Prelado, á…</t>
  </si>
  <si>
    <t>…s se hallan animados de iguales sentimientos, como lo manifiesta la proposición que se ha hecho á S. M, por varios dignos y respetables vecinos de esta corte, y á su frente el Dr. D. Antonio Bermejo, que han pedido á S. M. su Real consentimiento para hacer una suscripción en favor de los epidemiados. El Rey nuestro Señor no solo aprueba un acto tan propio de los sentimientos de nuestra santa religión, tan honroso á la huma nidad j, y tan digno del noble…</t>
  </si>
  <si>
    <t>Bermejo, Antonio García</t>
  </si>
  <si>
    <t>Antonio García Bermejo</t>
  </si>
  <si>
    <t>…militares españoles pronunciada en presencia de S. M. y A A.. RR el dia 24 de Noviembre de .‘818 en la Real iglesia de S. Isidro de padres Jesuítas de esta corte por el licenciado D. Antonio García Bermejo, capellán de ho nor, y predicador de S. M., juez auditor honorario de la Rota, y canónigo de la ca tedral de Segovia, en el aniversario que celebró el Real y supremo Consejo de la Guerra. Se hallará en la librería de Brun, como también la de las víctimas del…</t>
  </si>
  <si>
    <t>…honrosa comisión, ha sido consiguientemente autorizado para tomar las medidas convenientes al logro de los paternales deseos de S. M., au xiliado por el zelo del capellán de honor D. Antonio García Bermejo. Por el ministerio de Hacienda se ha comunicado la Real orden siguiente: Al subdelegado general .de. penas de Cámara digo con esta fecha lo si guiente : ,, He dado cuenta al Rey de lo que ha expuesto el regente de la Real audiencia de Sevilla en razón de que…</t>
  </si>
  <si>
    <t>…abrirse. Si en este intermedio tuviere alguna persona que tratar algún asunto urgente relativo á la suscripción (como no sea el de entregar dinero) podrá dirigirse al depositario D. Antonio García Bermejo en su casa, calle de Tole do, frente á la del Burro, núm. 5. ARTICULO DE OFICIO.. JEl Rey nuestro Señor se ha servido expedir el Real decreto siguiente: ,,Los diputados de la corona de Aragón, de la que en todos tiempos, y señaladamente en esta última época,…</t>
  </si>
  <si>
    <t>Bermejo, Santiago</t>
  </si>
  <si>
    <t>Santiago Bermejo</t>
  </si>
  <si>
    <t>…re gimiento de infantería de Zaragoza capitán D. Juan Power, tenientes D. Joa quín Araujo, D. Juan Bautista Echeverría y IX Ramón Tajonar; subtenientes D. Francisco Campo Osorio, D. Santiago Bermejo, D. Juan Benavente y Don Tomas Cepero: del primero Americano capitán D. Joaquín Sánchez Badajoz; subtenientes D. Juan Calvillo y D. Francisco Alvarez: del provincial de Fer nando, vil subteniente D Manuel Cúbelo; y de caballería dragones de Pue bla teniente D…</t>
  </si>
  <si>
    <t>Bermudez, Josef Cayetano Díaz y</t>
  </si>
  <si>
    <t>Josef Cayetano Díaz y Bermudez</t>
  </si>
  <si>
    <t>…, calle de las Carretas, y á la de Amposta, calle del Príncipe. La ciudad de Dios del gran padre y doctor de la iglesia S. Agustín, dividida eh 22 libros , traducida del latin por D. Josef Cayetano Díaz y Bermudez, é impresa en los años de 1793 ^ 97' consta de 12'tomos en 8.° prolongado. Se hallará á 131 rs. en papel, y por tornos sueltos á 11, en el almacén de la imprenta Real. EN LA IMPRENTA REAL.</t>
  </si>
  <si>
    <t>Bermudez, Tomas</t>
  </si>
  <si>
    <t>Tomas Bermudez</t>
  </si>
  <si>
    <t>…; el.de. Caldas de Cuntís y de Reyes D. Jacobo nuel Fernandez en éste último punto; el de Puertollano D. Carlos Romeral en esta corte , calle de..la Cruz ,• núm. 2 ;.el del Molar D. Tomas Bermudez calle de las Huertas, frente á la del Lobo; el de Solan defCabras.D..Joséf M enchero calle de la ( aíyá baje, rium. 25; el de Sacedon D. Marcelino Sauz en la misma villa; él de Alcantud D. Atanasio Herrainz en el pueblo de Cá^ ñaveras ;.el,de Alánge D. Josef…</t>
  </si>
  <si>
    <t>BernstorfF</t>
  </si>
  <si>
    <t>…- diplomáticos de mucho nombre asistieron á Jas conferencias que tuvo el Rey de Prusia en Toeplitz, y que duraron 3 días,Jl saber; los prínci pes de Hardemberg-y de Metternich; el conde BernstorfF, -ministro de Nego cios extrangeros de Prusia; el conde de Zichy, ministro de Austríaca Berlín, y el general deJ¿ru$emarc¿#¡ JESPAÍÍA. 1Barcelona 23.de Agosto. ■ c:jUna de las dos clases de matemáticas puras, que S.M. tiene «confiadas á la ^I^^ademia. de .Cie…</t>
  </si>
  <si>
    <t>Bertola, Jorge</t>
  </si>
  <si>
    <t>Jorge Bertola</t>
  </si>
  <si>
    <t>Gaceta de Madrid n.º 111</t>
  </si>
  <si>
    <t>…? cotí das demás obras' del* marqués Caraccíolo, nuevamente reimpresas-' y; Clementinas, poema en cuatro cantos sobré la corractas’Noches muerte de'Clemente xiv ( Gánganelli), por D. Jorge Bertola, traducidas libremente del italiano al francés por dicho marques Caraceiolo , y de este al castellano por Don Francisco Mariano Nifo: 2 tomos en 8.a . ¿XJLd* EN LA IMPRENTA RE AT</t>
  </si>
  <si>
    <t>Betancourt, Antonio Rafael</t>
  </si>
  <si>
    <t>Antonio Rafael Betancourt</t>
  </si>
  <si>
    <t>…o de la propia. Asimismo ha tenido á bien conceder Jos honores de oficial Real de Améri ca á D. Francisco Josef Odio, administrador de los ramos de propios de San tiago de Cuba; á D. Antonio Rafael Betancourt,,administrador de rentas de k viila ;de Sta. Clara; en la provincia de Puerto Príncipe de la isla de Cuba; á I). Miguel Bonilla, vecino de la Havana; á D, Juan Sayol , subdelegado de Hamacad, en Ja isla-de Puerto-Rico; á D. Josef Marín y Muros, administra^ dó…</t>
  </si>
  <si>
    <t>Betoño, Francisco Antonio de</t>
  </si>
  <si>
    <t>Francisco Antonio de Betoño</t>
  </si>
  <si>
    <t>…lla de Corpa y el Sr. Fiscal con Juan Perez sobre pago de maravedises pro cedentes de réditos de un censo. 23. Expediente de posesión dada al condestable de Castilla y León por el Sr. D. Francisco Antonio de Betoño, de las villas de Estabillo, Armiñon, Portilla, la Ribera y Tuyo, y de las jurisdicciones y demas preeminen cias que se confiscaron al citado condestable. 24. Testimonio de filiación de legitimidad y sucesiones por línea materna de D. Josef Estensoro de la Pe…</t>
  </si>
  <si>
    <t>Beza</t>
  </si>
  <si>
    <t>…Núm. 10. D. N. 100. Núm. n. D. Josef Valls de Roca 200. Nú mero 12. Doña N., viuda, 20. Núm. 13. D. N. 100. Núm: i4. D. N. 20. Nú mero 15. Doña Feliciana de Arza 120. Núm. 16. El brigadier Beza óo. Núme ro 17. D. Pablo Cabrero* y su esposa Doña Josefa Martínez 1300. Núm. ig. D. N. 60. Núm. 19. D. N. 40. Núm. 20. D. J. M. 160. Núm. 21. D. A. G. 2©. Núm. 22. D. N. 300. Núm. 23. D, N. 4. Núm'. 24. D. Custodio Alcaldeun vale Real de 150 pesos. Núm. 25.…</t>
  </si>
  <si>
    <t>Bezanilla, Manuel</t>
  </si>
  <si>
    <t>Manuel Bezanilla</t>
  </si>
  <si>
    <t>…DE . GUANAJIJATO. &gt;i; Oficio del coronel y comandante general X&gt;? Antonio de Linares. ,, Excmo. Sr.: Remito á'.V. E. el adjunto parte del comandante militar de Guanajuato teniente coronel D. Manuel Bezanilla, en que manifiesta haber escarmentado á una gavilla de ladrones, y que al cabecilla de ellos le apre hendieron tres paisanos de aquella capital, en cuyo honor debo ni_anifestar á la superior justificación de V. E. que veo á todos aquellos habitantes muy en tu…</t>
  </si>
  <si>
    <t>Bidaubigue, Beltran</t>
  </si>
  <si>
    <t>Beltran Bidaubigue</t>
  </si>
  <si>
    <t>…uraleza haya esparcido su fáutor, se ve el mismo Iturbide en la precisión de pfeveiiir -al público, ¿onió Jo hacé , que «Ualquiera qu’é"se érea&lt; acreedor suyo puede presentarse, á D. Beltran Bidaubigue, vecino y del comercio de Páín¿ piona ^ quien pagará inmediatamente en vista de d ocu trien tos justificativos cualquiera cantidad en tju'e el referido Iturbide resultase deudor. r de laBátrájordende .Qui&lt;;9deSxavMaría -• «% v.*. ¿ * w». ¿ /,;f</t>
  </si>
  <si>
    <t>Bille</t>
  </si>
  <si>
    <t>…Emperador de Austria á su vuelta ,de Roma ,j¡el general in gles Maitland ^ gobernador de Malta y de las islas Jónicas. V Parece que ha sido muy bien recibido del Rey de Suecia el almirante Bille, á quien había enviado al eampamento dé Scanía el Reyndé iDinainarc^i pár^ que cumplimentase en su nombre á S. M. . És muy considerable en' Rusia éste ario la importación de las mercancías ytgénerós éxtirangeros, al paso qqe se ¡ ha; (disminuido imuchod a é^p…</t>
  </si>
  <si>
    <t>Biron</t>
  </si>
  <si>
    <t>…e Castillo, frente á S. Felipe «1 Real. Minerva ó el Revisor general: trimestre 6.®, cuaderno de Diciembre, contiene el sitio de Corinto, traducción ltbre de un poemita ingles del lord Biron, el cual tam bién se vende suelto a real. Concluye.el ensayo sobre el reino de Nueva-España por A. Humboldt, y se trata de la fiebre amarilla que se padece en aquellos países, de las rentas del Estado y de su progresivo aumentoy de, la defensa militar del pai…</t>
  </si>
  <si>
    <t>Bjiaganza, María Isabel de</t>
  </si>
  <si>
    <t>María Isabel de Bjiaganza</t>
  </si>
  <si>
    <t>Gaceta de Madrid n.º 142</t>
  </si>
  <si>
    <t>…de cam po, y señalo»,fopdos para habilitar los salones y galerías del magnífico edificio, del AÍuseo del Prado, donde la colección había de colocarse. i&gt;u,\augusta Es posa la Sra. Doña María Isabel de Bjiaganza , que de Dios goce,.movi da, dedos mismos deseos que.S- M,, se dignó-también proteger y aleñar ¡este importanté: proyectoy &gt;-al cabo de año y medio que se ha trabajado en sir egecucron está ya concluida una gran parte de la obra, donde se,han ordena do despué…</t>
  </si>
  <si>
    <t>Blafce, Joaquín</t>
  </si>
  <si>
    <t>Joaquín Blafce</t>
  </si>
  <si>
    <t>…que se presentaron á responder á las cuestiones que se lés hiciéron, los tres sobresalientes fueron J&gt;. Saturnino Montojo, alférez* de fragata de la Real Armada, D. Pedro Colon, y D. Joaquín Blafce, subte ■ &lt;r 1 ■■ -■ *" ; ' ^niente de áápBdéies, *•&gt; \ Se previene que todas las personas que deseenr asistir en clase de discípulos q di Ía&gt;de¿cJyéWtesjftl «segundo -curso de física del mismo Real estudicc -de-</t>
  </si>
  <si>
    <t>Blake, Joaquín</t>
  </si>
  <si>
    <t>Joaquín Blake</t>
  </si>
  <si>
    <t>…, Fijangisco de Paula ; D. Josef de Palafox y Melci, .cáballeco gran oroz ríe las ,orf-? denesríe S. Fe mandos y S.&gt;rHerjnenegildo, .y oapi«an general rde ¿Ips Jleaies&gt; egércitos; D. Joaquín Blake, caballero gran cruz de las mismas dos órdenes, ingeniero general, y capitán general de los Reales egércitos; marques de- la Concordia, capitán general de los Reales egércitos, y caballero gran cruz de la orden española de Cárlos iii ; D. Josef Fernandez Hena…</t>
  </si>
  <si>
    <t>…. Núm. 67. D. Pedro Sedaño 200. Núm. 68 D. Cayetano Bautista 25. Núm. 69. Don Santiago Antonio de Unza 80. Núm. 70. D. A. E. 70. Núm. 71. D. Domin go Riesco 60, Núm. 72. El Excmo. Sr. D. Joaquín Blake ico. Núm. 73. Don M. B. 60. Núm. 74, D. N. C. 320. Núm. 75. D. J. M. 60. Núm. 76. Don J. S. 160. Núm. 77. D. N. C. 20. Núm. 78. í). Josef Ribera 3C0. Núm'. 79. Los Sres. N. S. 800. Núm. 80. D. V. R. 20. Núm, 81. D. J. F. 100. Nú mero 82. Doñá M. E. E. 300. Nú…</t>
  </si>
  <si>
    <t>Blanco, Josef Sabau y</t>
  </si>
  <si>
    <t>Josef Sabau y Blanco</t>
  </si>
  <si>
    <t>…pasta. Colección de retratos de los Reyes de España , dispuestos para servir en la nueva edición de la Historia de España, escrita por el P. Juan de Mariana, que "publica el E&gt;r. D. Josef Sabau y Blanco, individuo de la Real academia de la Historia. Se ha llan de venta á real y medio los pertenecientes ai tomo 8.° , como asimismo los de los tomos anteriores, én Ja imprenta de Fuentenebro, calle de Jacometrezo, y en la li brería de Quirós, calle de Atocha. EN…</t>
  </si>
  <si>
    <t>…de España del P. Juan de Mariana, ilustrada con notas históricas y críticas, y tablas cronológicas desde lo» tiempos mas antiguos hasta ía muerte del Sr. D. Garlos 111, por el Dr. D. Josef Sabau y Blanco, canónigo de la santa iglesia metropolitana de Búrgos, é individuo de la Real academia de la Historia, acudirán á recoger el tomo 9.0 y pagar el io.°, que estará pronto, á Ja librería de Quirós, calle de Atocha, y en Santiago en la de Ro mero; en Barcelona en…</t>
  </si>
  <si>
    <t>…e España del P. Juan de Mariana, ilustrada con notas históricas y críticas, y tablas cronológicas desde los tiem pos mas antiguos hasta la muerte del Sr. D. Cárlos 111, por el Dr. D. Josef Sabau y Blanco, canónigo de la santa iglesia metropolitana de Búrgos, é individuo de la Real academia de la historia, acudirán á recoger el tomo 10 y pagar el r 1, que se dará pron to á luz, á la librería de Quirós, calle de Atocha, y en Cádiz á la de Zaragoza; en San tiago…</t>
  </si>
  <si>
    <t>Gaceta de Madrid n.º 117</t>
  </si>
  <si>
    <t>960</t>
  </si>
  <si>
    <t>…eneral de España del P. Ma riana, ilustrada con notas históricas y críticas, y tablas cronológicas desde los tiem pos mas antiguos hasta la muerte del Sr. D. Carlos iirvpor el Dr. D. Josef Sabau y Blanco, canónigo de la sania iglesia metropolitana de Burgos, é individuo de la Real academia de. la Historia .v acudirán á recoger el tomo n y joagar el 12 ¿ que saldrá pronto, á la librería de Quirós, calle de Atocha; en Cádiz en la de Zaragoza; éíf Santiago en la…</t>
  </si>
  <si>
    <t>…de España del P. Juan de Mariana, ilustrada con notas históricas y críticas, y tablas cronológicas desde los tiempos mas antiguos hasta la muerte del Sr. D. Carlos nt, por el Dr. D. Josef Sabau y Blanco, canónigo de la santa iglesia metropolitana de Bíírgos, é individuo de la Real academia de la Historia, acudirán á recoger el tomo 12, y pagar el 13 , que se dará pronto, á la librería de Quirós, calle de Atocha, y en Cádiz á la de Zara goza; en Santiago á la…</t>
  </si>
  <si>
    <t>Blanco, María Ana Fernandez</t>
  </si>
  <si>
    <t>María Ana Fernandez Blanco</t>
  </si>
  <si>
    <t>…acteres y adornos de bastante gusto. Doña Escolástica Siñeriz, naitural dé. la parroquia de Búduno, presentó, á nombre de sus tíos el capitán del puerto de Manila, en Filipinas, y Doña María Ana Fernandez Blanco, ¿su mug£X, un vestido blanco; bordado por una hija de estos de edad de 10 &lt;años , que dice bastante bien el cuidado paternal con que le han procurado su educación, se acordó hacer manifestación de él en la junta pública general, edar finas gracias á los padr…</t>
  </si>
  <si>
    <t>Blanco, Pedro Marcelino</t>
  </si>
  <si>
    <t>Pedro Marcelino Blanco</t>
  </si>
  <si>
    <t>…100. Nú mero 47. D. Ramón Ramos y Poveda 100. Núm. 48. D. N. 40. Núm. 49* D. Laureano Ramos y Peña 20. Núm. 50. D. Juan Antonio Salcedo, cura de S. Ginés de Madrid, 300. Núm. 51. D. Pedro Marcelino Blanco 20. Nú mero =52. El señor cura cíe S. Ginés, por limosnas que le han entregado algu nos feligreses, 212. Núm. 53. D. Esteban Morales 40. Núm. 54. D. Q. B. H. 500. Núm. 55. Doña G. C. 40. Núm. 56. D. Rafael Guzman 10. Nú-</t>
  </si>
  <si>
    <t>Blanto, Josef Sabau y</t>
  </si>
  <si>
    <t>Josef Sabau y Blanto</t>
  </si>
  <si>
    <t>…e España del P. Juan de Mariana, ilustrada con notas históricas y críticas, y tablas cronológicas desde los. tiempos mas antiguos hasta la muer ¡4 dehSr. D. Cárlos. ni, por el Dr. D. Josef Sabau y Blanto,* canóniga de laStá. iglesia metropolitana dé Burgos, é individuo de la Real academia de ia Historia, acudirán á recoger el tomo 8.° y pagar el 9.0, que está en prensa, á la librería de Quirós, calle’;&lt;d'e Atocha,: en Santiago áj la de Rey Ro mero ; en Barcel…</t>
  </si>
  <si>
    <t>Blas</t>
  </si>
  <si>
    <t>…D; 'Vicente .Martínez, primer médico dé S. M. ,y presídeme de la academia, tuvo á bien dar comisiona, los Sres. JDon IFraWhco' Ruiz , D Ignacio Rifíz dé Luzuriñga, D. Ramón Llord, D. Blas -Llanos:, &lt;D. Tedrn Xaphma , D. ÍMañuel' Círsal y D. Vicente ‘Carrasco, paca r^ue ton todo esmero y prólifídad hiciesen dbsén?acfones sobre esta raíz;*y las -que ofrecen los que Kan terfido oea^ióíi de examinarla han correspondido en Afecto *4 las/espéMuafcas…</t>
  </si>
  <si>
    <t>Blas-Prats</t>
  </si>
  <si>
    <t>…la Real capilla, seguida de los capellanes de honor D. Gines de Moya, que hacia las funciones de cura del Real palacio, D. Ramón Aguiriano, que hacia las de maestro de ceremonias, D. Blas-Prats, D. Domingo María Tordera, D. Antonio Bermejo, D. Tibureio Saez, D. Leandro Alvarez, D. Luis Ramírez Mon sal ve, D. Agustín de la Rica * D. Julián Arrea, D. Antonio Ramírez de Arellano y D. Pedro Gil; después de haber cantado nuevamente solemnes responsos la…</t>
  </si>
  <si>
    <t>Blasco, Juan</t>
  </si>
  <si>
    <t>Juan Blasco</t>
  </si>
  <si>
    <t>…ám. 5 , quarto principal, ante el Se ñor D. Josef Villar y Frontín ,.secretario director dé las encomiendas que poseyó el Sermo. Sr. Infante D. Antonio (que en paz descanse), y el coronel D. Juan Blasco ^Negrillo, contador general de las mismas; en inteligencia de que hasta el referido día se admitirán las mejoras que quieran hacerse, con arreglo á las condiciones que se manifestarán, y bajo las cuales_se ha de practicar el expresado último remate. • Por pro…</t>
  </si>
  <si>
    <t>Blucher</t>
  </si>
  <si>
    <t>Gaceta de Madrid n.º 11</t>
  </si>
  <si>
    <t>…ciones del. difunto Rey Federico Guillel— mo ii, que para este efecto estaban preparadas de antemano: desde allí vio 8. M. desfilar las tropas, á cuya cabeza iba. el feld-mariscal príncipe Blucher, mandando sus brigadas y regimientos respectivos los Príncipes de la familia Real. Se sirvió la eomida en el salón blanco; y celebrándose este dia el aniver sario del nacimiento del Emperador Alejandro, brindó el Rey por la salud de este Príncipe y de la Empe…</t>
  </si>
  <si>
    <t>…e llegar á los baños de Toeplitz con el ríombre de conde de Ruppin. Su hijo el Príncipe Real, que estaba en Carlsbad , en Bohemia, el i.° de Julio, donde vio a los féld-mariscales príncipe Blucher y príncipe de Schwarzemberg, ha pasado por las ciudades de Nuremberg y, de Francfort, y se cree que se detendrá algún tiempo en Dusseldorf!. Mr. Jordán, ministro de Prusia cerca del Rey de Saxonia, salió de Dresr de, y llegó á Berlín el 17 del corriente, enca…</t>
  </si>
  <si>
    <t>…ario de Prusia en esta corte. El feld-mariscal príncipe dé Scliwarzemberg había salido de Carlsbad el if con dirección á Worlick, en donde se asegura que esperaba al feid-mariscai príncipe Blucher. ALEMANIA. Francfort 21 de Agosto. Los motiñes que ha habido aquí contra los judíos han presentado el irhismo carácter de gravedad y de encono que en otros diferentes puntos ; pero sin embargo han sido respetadas las providencias de la justicia sin'la menor c…</t>
  </si>
  <si>
    <t>…ias que hu bieran producido los esfuerzos de: la naturaleza para arrojarla. El dia 12 de este mes falleció en su casa de campo de Kriblpwitz, en Silesia, el feld-mariscal prusiano príncipe Blucher, á la edad de 76 años y cuatro-meses; con cuyo motivo el Rey de Prusia ha mandado que el egército se vista de luto por espacio de ochó dias. ~ Ha corrido la voz en Francfort de que los Soberanos de Alemania habían tomado la; resolución dp eximir .á sus estado…</t>
  </si>
  <si>
    <t>…de su respeto y gratitud al gefe que tantas veces las había conducido á la victoria, y que habían perdido en la noche anterior. Kriblowitz, donde residía el difunto feld-mariscal príncipe Blucher, formaba el centro con corta diferencia de los acantonamientos de las tropas, y en la manan?, de este dia se reunieron estas en número de 20© soldados, y pasaron al parage en donde el feld-mariscal había dispuesto que se le enterrase, y allí le hicieron los h…</t>
  </si>
  <si>
    <t>Blucher, Príncipe</t>
  </si>
  <si>
    <t>Príncipe Blucher</t>
  </si>
  <si>
    <t>…s. Se están tomando en Carlsbad, en Bohemia, las disposiciones necesarias para el recibimiento del . mariscal austríaco Príncipe de Schwarzemberg, del príncipe de Metterriich, del mariscal Príncipe Blucher y de otros distinguidos personages. ; En él mes de Julio próximo llegará á Marienhab Luís Bonaparte, ex-rey 'de Holanda. *Han sido detenidos en Ginebra varios marinos pertenecientes á diversos buques que han llegado á este puerto desdé Inglaterra. Esta medida…</t>
  </si>
  <si>
    <t>Bolaño, Juan Antonio</t>
  </si>
  <si>
    <t>Juan Antonio Bolaño</t>
  </si>
  <si>
    <t>…Alvarez Pardo. u . • ^ r De Carrion de los Condes. A D. Julián Bringas. ALCALDES MAYORES. . ^ T , De Medina de las Torres. " ‘ ^ A D. Carlos Angulo. ' ! ' De Fiñana. ’ * /. * , A D. Juan Antonio Bolaño. Délas poblaciones de Sierramorena. A D* Antonio Lafuente y Oquendo. : X , : . i - ^ De lo criminal y policía de Cádiz. A D. Joaquín de la Escalera. ' *</t>
  </si>
  <si>
    <t>Bolet, Juan</t>
  </si>
  <si>
    <t>Juan Bolet</t>
  </si>
  <si>
    <t>…te á los capitanes D. Juan Josef Hidal go, herido con dos balazos; D. Antonio Vázquez, que salió contuso; D. Be* nito Boves y D. Francisco Sainz; los tenientes D. Hilario Noguera; D. Juan Bolet, D. Josef Antonio García y D. Benito Ostos; los subtenientes D. Fran cisco Bolet y D. Manuel Rodríguez; los sargentos primeros Agustín Luqué y Pascual Soto, y los segundos Pedro Heredia y Paz Perez, distinguiéndose es tos individuos én todos los actos en que…</t>
  </si>
  <si>
    <t>Bommatí, Manuel</t>
  </si>
  <si>
    <t>Manuel Bommatí</t>
  </si>
  <si>
    <t>…stro; sin,embargo sobresalieron y obtuvieron premio los siguientes: en la primera clase D. Lorenzo Moret, niño del mas singular despejo, y que solo cuenta 16 meses de instrucción; D. Manuel Bommatí, D. Jacobo Pa checo, D. Josef Adan, D. Salvador Várela , D. Juan Mateo, D. Antonio Medina y D. Ramón Martínez. En la segunda D* Ignacio Várela , D. MañuefRodríguez Campo , D; Manuel-García, D. Pedro Ochoa, D. Francisco Herrera, D. Joaquín Meana .y D. Miguel A…</t>
  </si>
  <si>
    <t>Bonaparte</t>
  </si>
  <si>
    <t>…otras relaciones distintas; de las que le correspondían por su destino; y el últi mo fue por haber; dado constantemente, á Bonaparte el nombre de Napo león v ¡y no feL títuloi.de .general Bonaparte. Mr* Stokoe ha venido en la refe rida fragata en clase de pasagero.” ( ■ Ayer Re presentaron, á las dos ^Cámaras del Parlamento los nuevos bilis 4 pro.yeetos de ley dirigidos á reprimir Los alborotos populares, y á poner tér mino á dos-libelos* Unp.de, el los…</t>
  </si>
  <si>
    <t>Bonifa</t>
  </si>
  <si>
    <t>…a jal. {Se continuará..;) Péreljuzgado ¡del Sr. D. Angel Fernandez de los Ríos,‘del Come jo dé S. Mi, y teniente corregidor de esta ¡muy heroica -villa, se cita, llama y emplaza ! D. Bonifa cio' y-D/Férmln Doz, á An de'que pfe/sónálmente o por medio de procurador'! con fcuficienté poefer , dentro deí térrhmode 30 días comparezcan ante dicho señor por el oficio de D. Claudio Sanz, escribano del numero, á decir y exponer lo que á su d ¿reícho conv…</t>
  </si>
  <si>
    <t>Bonilla, Juan de</t>
  </si>
  <si>
    <t>Juan de Bonilla</t>
  </si>
  <si>
    <t>201</t>
  </si>
  <si>
    <t>…fecha 13 de Noviembre de 1597 ante Juair efe Carmena, escribano de S. M. 25. Dos escrituras de venta, otorgadas por Diego Díaz dtet Castillo, al guacil de Casa y Corte, á fevor de.D. Juan de Bonilla y Doña Bernarda de Vergara su muger, en la calle dé S. Juan, ante et escribano del número Be— dro de Olías en i.°: de Junio de 16j - * 26. Escritura dé traspasación1 dé censo , otorgada por Doña Elvira de So ria, muger de Francisco Hernández , vecino de la ciudad de Ciudad-Rodrigo, por…</t>
  </si>
  <si>
    <t>Borbon, Luis de</t>
  </si>
  <si>
    <t>Luis de Borbon</t>
  </si>
  <si>
    <t>Gaceta de Madrid n.º 71 (extraordinaria)</t>
  </si>
  <si>
    <t>…dari'recibo''en forma:-S/ M. el Rey nbestro Señor y Si Ai. el Sr*. Irafante Di FranciseodO^ expresaron asi,'y lo firmaron de susjRéa^ les manos, hallándose presentes como testigos D. Luis de Borbon ,■ por la divina misericordia presbítero cardenal de la Sta. Romana Iglesia r del’ título* de Santa María'de Scalay arzobispo de Toledo, primado de las Españasy canciller mayonde Castilla, grande de España de ¡primera clase, caballero gran cruz de la Real y d…</t>
  </si>
  <si>
    <t>Borbon, Luisa Carlota de</t>
  </si>
  <si>
    <t>Luisa Carlota de Borbon</t>
  </si>
  <si>
    <t>…nde de Abspurg, deFlándes', Tiro! y Barcelona; Señor dé Vizcaya y de Molina &amp;c. &amp;c. ,■ del Sermo. Sr.Tivfante li Francisco'de Paula Antonio', y de su Esposa la Sermá. Sra. Infanta Doña Luisa Carlota de Borbon, Hija de los Sermos^ Sres. Duques de Calabria í&gt;* Francisco y Doñá María Isabel de Borbon, y Nieta del muy alto y muy poderoso Sr. D. Fernanda 1, jRey del reino.de las.Dos Sicilia^,. D. Nicolás Centurión y .Vera’, marqués de: la Lapilla y Monesterio, grande d…</t>
  </si>
  <si>
    <t>Bórboñ, Luisa Carlota de</t>
  </si>
  <si>
    <t>Luisa Carlota de Bórboñ</t>
  </si>
  <si>
    <t>702</t>
  </si>
  <si>
    <t>…io.°, impresos én’1789. Véndense á* 11 rs. cada uno en, papel.én eTalmacén dé lá imprenta Real. &lt; Grande marcha y polaca para piano-forte á la feliz llegada de S. A. S, lá Señora Doña Luisa Carlota de Bórboñ . Infanta de España. Se hallarl a 6 rs. en los alma-’ cenes de musica.de la calié^del Turco y carrera de S. Gerónimo. Se acaban dé grabar en celebridad de la feliz entrada en Madrid, y de la ratifica ción del dichoso enlace de SS. A A. SS. los Sres. Infantes…</t>
  </si>
  <si>
    <t>Borbon, María Luisa de</t>
  </si>
  <si>
    <t>María Luisa de Borbon</t>
  </si>
  <si>
    <t>…Fer nandez de Córdoba, Espinóla de la Cerda y Sarmiento, condesa de la Pue bla del Maestre, á los 53 años y 9 días de edad, camarera mayor de dicho Real palacio, dama de la Reina Doña María Luisa de Borbon y de su Real orden: era hija de los Excmos. Sres. D Juan de Mata Fernandez de Córdo ba , Espinóla de la Cerda, y Doña María Ana Sarmiento de Sotomayor, con desa de Salvatierra, quienes notando los singulares dotes y particular enten dimiento de que estaba ado…</t>
  </si>
  <si>
    <t>i8i que corrompen el almá al paso que aniquilan las haciendas mas pingües. En 26 de Abril de 1792 fue nombrada dama de la difunta Reina Doña María Luisa de Borbon, y condecorada con su Real orden: cuando la invasión de los franceses emigró á Ceuta por no sujetarse al Gobierno intruso, en donde permaneció hasta el año de 1814, que regresó á esta corte, sin desamparar su marido ni sus hijos, estando siempre reunidos cual…</t>
  </si>
  <si>
    <t>Gaceta de Madrid n.º 44</t>
  </si>
  <si>
    <t>…. Oración fúnebre que en las solemnes y Reales honras celebradaajde orden; de Sf M. el Sf* D- Fernando vii, Rey de España y de las Indias, por elafllma de su angusta Madre la Sra. Doña María Luisa de Borbon, dijo en la iglesia de S, Francisco el Gran-, dé de Madrid el día 22 de Marzo 4e 1819 ^r* D. Víctor Damniara Saez, predicador de S. M.# y canónigo lectoral de la santa iglesia de loi.edo, prninruda de las Espa dáis. Se vende en, la librería de Ranz, caUé de l…</t>
  </si>
  <si>
    <t>…bqffu|js!5¿e las de Ja Reina nuestra Señora!'el Dr. D. ( Benito Fernandez Navárrete ,.deán de la santa iglesia metropolitana de dicha ciudad; y en las de los Sre^. Don Carlos iv y Doña María Luisa de Borbon el Rmo. P. Fr. Mariano Lanajg, vicario en el convento de Capuchinos de la misma. El Exorno. Sr. capitán general, limo. Sr* arzobispo, los individuos de cuerpos civiles y militares, y en fin un numeroso concurso de todas las clases del vecindario acompañaron a…</t>
  </si>
  <si>
    <t>…s celebradas de orden de la fidelísi ma ciudad de Borja ;en la iglesia,, del convento .de S. Francisco el día 29 de -Marzo de í B ig ep sufragio de losfReyés el Sr. D. Carlos iv y Doña María Luisa de Borbon, dijo el P. Fr. Pascual Gonzalvo, lector de filosofía en dicho convento. Se ha llara en la librería de Escribano,.calle de las Carretas, á 2 rs., y en Zaragoza en la de Gon?alvo. ■wr f EN LA IMPRENTA REAL.</t>
  </si>
  <si>
    <t>Borgo, Pozzo di</t>
  </si>
  <si>
    <t>Pozzo di Borgo</t>
  </si>
  <si>
    <t>…an Duque Nicolás, y se iluminó toda la ciudad. El Emperador ha concedido la orden de S. Andrés á S. A. R. el Príncipe Federico de los Países- Bajos; la de S. Alejandro al teniente general Pozzo di Borgo, su ministro plenipotenciario en la corte de Francia, y al teniente ge neral Paskewitich, y la orden de Sta. Ana de primera clase al mayor general Aíedidsky. • - — -t POLONIA. Varsovia 31 de Diciembre. Según las últimas noticias estadísticas del reino de Polo…</t>
  </si>
  <si>
    <t>…as .muy ingeniosas sobre esta terrible-enfermedad, de la que él mismo vino á ser víctima: en sus obras impugnó siempre los muchos sistemas de metafísica inventados en Alemania. El general Pozzo di Borgo, ministro plenipotenciario de S. M. el Empe rador de Rusia, ha remitido al Excmo. Sr. ministro del Interior la cantidad de 500 francos queS. M. I. ha concedido por vía de socorro á Mr. D. Vauthier, vecino de Menil-la-Horgne, distrito de Commercy, para ayudarl…</t>
  </si>
  <si>
    <t>Borneman</t>
  </si>
  <si>
    <t>…ya astucia se ;haibjA-atraído una multitud de partida rios , en términos que fue precisó mandar tropas ei: sü persecución. Llegaron en efecto á las .manos, y habiendo márChadó -el teniente Borneman 001133 laíícéros de Bengala para ocupar un puesto, fue atacado por el fingido sdnto, seguido de más de 1$ javaneses armados de lina especie de puñal.' El tenien te Borneman, comandante del puesto, maridó á sus lanceros que se mantuvie-sén en la defensiva hast…</t>
  </si>
  <si>
    <t>Borras, Gaspar</t>
  </si>
  <si>
    <t>Gaspar Borras</t>
  </si>
  <si>
    <t>s estaban, .se suplica ¿.cualquier* que-sepa su paradero , ó pueda dar .alguna noticia so bre ello , que se sirva avisarlo á D. Gaspar Borras, abbgado, residente en dicfia ciu dad ae Matará , quien ofrece ceder la tercera parte de dichos vales á favor-de cual quiera que le proporcione su hallazgo. El Sr. Bourderán , trompeta que fue del regimiento 2 i de cazadores, 5.a com pañía, i.a brlgadá del eg…</t>
  </si>
  <si>
    <t>Borsell, Josef</t>
  </si>
  <si>
    <t>Josef Borsell</t>
  </si>
  <si>
    <t>…BIanco, reino de Murcia: el fuero mi litar y uso de uniforme de practicante de la misma facultad á D. Juan Agus tín González, residente en la villa de Poza, provincia de Burgos; á D. Josef Borsell en la ciudad de Barcelona; á D. Luis Paz en Sta. Cristina de Baleige, obispado de Tuy, y á D. Josef Vázquez en la ciudad de Sevilla: de clarando al mismo tiempo le ha sido muy grata á S. M. la cesión que res pectivamente han hecho de la pensión que con arregl…</t>
  </si>
  <si>
    <t>Bossuet, Jacobo Benigno</t>
  </si>
  <si>
    <t>Jacobo Benigno Bossuet</t>
  </si>
  <si>
    <t>…ibrerías de Sanz,.calle de las .Carretas, j de Ranz, calle de la Cruz. .. Meditaciones sobre, el evangelio, ó exposición literal y mística de Josevangelios: obra póstuma del limo* Sr. Jacobo Benigno Bossuet , obispo de Meaux. y la mas acredita da de cuantas escribió en este género, traducidas del frunces, al español por Pon Francisco Martínez Moles. Se hallará en la librería de Hurtado, calle de las Carre tas, á 30 rs. en pergamino y á^ó en pasta. / V Diálogos d…</t>
  </si>
  <si>
    <t>Bourderán</t>
  </si>
  <si>
    <t>…á D. Gaspar Borras, abbgado, residente en dicfia ciu dad ae Matará , quien ofrece ceder la tercera parte de dichos vales á favor-de cual quiera que le proporcione su hallazgo. El Sr. Bourderán , trompeta que fue del regimiento 2 i de cazadores, 5.a com pañía, i.a brlgadá del egército francés en España, se hallaba en Medlondo el 4 de Setiembre de 1813: desde esta época no hah tenido sus^parientes ninguna noticia de su paradero; y deseosos de saberlo…</t>
  </si>
  <si>
    <t>Bourman, Félix</t>
  </si>
  <si>
    <t>Félix Bourman</t>
  </si>
  <si>
    <t>…agiados en los mismos términos que se le han indicado en las re mesas anteriores que se le han hecho. ARJICOLO DE OFICIO. En atención al mérito y servicios del comisario ordenador D. Félix Bourman , ministro contador de las cajas de Valladoüd de Mechoacan, se ha ser vido el Rey concederle los-honores de intendente de provincia. D. Dunaro García, profesor de mineralogía en el museo de ciencias, em pezará sus lecciones públicas de este ramo en el Real ga…</t>
  </si>
  <si>
    <t>Boutelou, Esteban</t>
  </si>
  <si>
    <t>Esteban Boutelou</t>
  </si>
  <si>
    <t>…a del Real jardín Botánico de esta corte : 1# verdad desnuda, avisos dados alISr, Rey D. Fernando vi; memoria sobre las sustan cias vegetales que pueden servir para hacer pan, por D. Esteban Boutelou; noticia historial de la Real acequia de Xarama; tercera noticia historial de las conquistas de ' Tierra-firme; noticias sobre el canal de Castríl, ó sea de Huesear; viage por tierra hecho desde Rio-Janeiro á Lima á principios de 1818 ; noticia sobre reforma…</t>
  </si>
  <si>
    <t>Boza</t>
  </si>
  <si>
    <t>…tas, sorprendiendo He noche la gente que hubiese de destacamento, saquearlo y destrozarlo todo, y luégd retirarse a su destino. En consecuencia oficié prontamente por duplicado al coronel Boza, comunicándole lo conveniente á fin de que estuviese sobre aviso en el particular, suplicándole también que tuviese la bondad de poner eñ noticia de V. S. esta ocurrencia, para su inteligencia. En seguida , no adelan4 tando en aquel punto noticia dé considera…</t>
  </si>
  <si>
    <t>Br</t>
  </si>
  <si>
    <t>Gaceta de Madrid n.º 53</t>
  </si>
  <si>
    <t>…* la orden de S. Fernando y del Mérito y eí collar de la de S. Genaro de Ña póles al. señor marques de Casa-Itujo, primer secretario interino de Estado; el- collar de S. Genaro al Sr. Br. Pedros Gómez Labrador,. embajador del Rey nuestro Sqñor cerca de rS' ML Siciliana.; el mismo-coiia'dol Sr.-Di Jtién Esté-¡ ba8 .LozapQ. de Torres., secretario det Estad®, y del despacho de Gracia y ti.cia^: gotario mayoj%.de ios .reinos^ joiaí: mgrquesrdb -%…</t>
  </si>
  <si>
    <t>Bra, María Isabel de</t>
  </si>
  <si>
    <t>María Isabel de Bra</t>
  </si>
  <si>
    <t>…leUraroa:íewda catedral:por disposición.iáehayúñtbníeoto dé esta Mi N.-.y.Ii. ciudad &gt;y densaícahiIdo. eclesiástico las .exequias ' por el eterno descanso de nuestra difunta Reina Doña María Isabel de Bra? ganza. El clamor general de las cardpánas' y las descargas de la artillería volante, servida por los inhábiles de la caja de Xugo^ anunciaron esta función desde la tarde de a/er, en que se cantaron con' lá mayor solemnidad las vísperas de difantb&amp;'y la vigil…</t>
  </si>
  <si>
    <t>Bracanza, María Isabel de</t>
  </si>
  <si>
    <t>María Isabel de Bracanza</t>
  </si>
  <si>
    <t>…de Guadálerza y al militar convento de S. Júañ. Los pretendientes remitirán los memoriales ala justi cia y ayuntamiento de dicha villa. Oración fúnebre de la Reina nuestra Señora Doña María Isabel de Bracanza, dedicada al Rey nuestro Señor D. Fernando vti, y pronunciada por el Dr. I). Miguel de Angulo, canónigo magistral de la santa iglesia de Calahorra, en las solemnes exequias celebradas en aquella catedral el dia 31 de Enero de 1819. Se vende á 4 rs. en la libr…</t>
  </si>
  <si>
    <t>Brache, Josef Benedicto</t>
  </si>
  <si>
    <t>Josef Benedicto Brache</t>
  </si>
  <si>
    <t>…sonal, y medalla de oro. Guerrillas de Ortizy Parapára. ' jy. JoseF María Requena, natural de S. Juanee ios Morros. Aprobado de capítan , y el Don personal. Escuadrón de Tiznados. D. Josef Benedicto Brache, natural del Pao* Aprobado en su empleo de capítan, y obtuvo el Don personal. Capitanes■* D. Josef Antonio Ochoa, D. Manuel Felipe Ochoa, D. Aca rio Ramos, naturales de la villa del Pao. Aprobados en sus empleos de capí* tañes de milicias; la nobleza personal…</t>
  </si>
  <si>
    <t>Braganza, María Isabel de</t>
  </si>
  <si>
    <t>María Isabel de Braganza</t>
  </si>
  <si>
    <t>…menos que el amor á nuestro au gusto Soberano y Señor D. Fernando vn. En 3 de Enero de 1816 fue nom brada por S. M. camarera mayor de su Real palacio y de la Reina nuestra Señora Doña María Isabel de Braganza , que esta en gloria; y en el si guiente año de 1817 obtuvo de S. M. el nombramiento de aya de la Sere nísima Sra. Infanta Doña María Isabel Luisa, hija primera de SS. MM., cu yos destinos en todos sus ramos desempeñó á su satisfacción, mereciendo en todo su…</t>
  </si>
  <si>
    <t>…a María Isa-s beli&gt;e Braganza (qí e.‘e. g.), con acompañamiento dé piano, por X). Mariano Ledesma: su precio 6 rs.dr Marcha fúnebre á la grata memoria, de la Reina nuestra" Señora Doña María Isabel de Braganza (q. e. e. g. ), compuesta para piano por A.-F. deOÓrdoba: su precio 4 rs.•' Se halíaránen el almacén de música de’Moreno y, compañía, calle del Príncipe, númi 14 , con un completo surtido dé música na-' cional’y extrángera. -r ’ ^ Én la gaceta anterior pág.,…</t>
  </si>
  <si>
    <t>…su augusto Esposo el Rey nuestro Señor. Alcalá, de Henares 4, de Marzo, Esta ciudad y su cabildo eclesiástico, penetrados de sumo dolor pór el fallecimiento de nuestra amada Reina Doña María Isabel de Braganza, acordaron celebrar, solemnes exequias en la magistral de esta dicha ciudad, las que tuvieron efecto en los dias 25 y 26 del referido mes de Enero, y. en ami bos dias asistieron la nobleza, los gefes militares y oficialidadr como también las comunidades regul…</t>
  </si>
  <si>
    <t>…de Marzo. Habiendo mandado el Rey nuestro Señor que se hiciesen honras solemnes en la iglesia de S. Francisco el Grande de esta corte por su augusta Esposa la Reina nuestra Señora Doña María Isabel de Braganza, en los mismos términos que se egecutaron por el Sr. D. Carlos m, su augusto Abuelo, hizo disponer el Excmo. Sr. conde de Miranda, mayordomo mayor de S. M., el túmulo y ornato fúnebre del templo, cuya egecucíon, se encargó al arquitecto mayor de palacio D. Is…</t>
  </si>
  <si>
    <t>…, ■ Madridjp deAbril. - , El día 17 de Marzo la clase de la Grandeza de España celebró honras so lemnes en la iglesia de S. Isidro el Real por el alma de la Reina nuestra Se ñora Doña María Isabel de Braganza , que en paz descanse. En medio del crucero se erigió un suntuoso monumento alegórico en esta forma: Sobre un basamento cuadrado imitado á mármol negro, á cuyo plano se subía por cuatro escalinatas, se elevaba un zócalo igualmente cuadrado de mármol mo cado,…</t>
  </si>
  <si>
    <t>…según el orden establecido de su precedencia, dos filas de bancos que habia en el cuerpo de la iglesia. El ornato fúnebre dél templo fue el mismo que en las exequias de la Reina. Doña María Isabel de Braganza, á excepción de algunas mudanxas que se habían hecho en el catafalco; y toda la función se celebró con la solemnidad y magnificencia correspondientes á las últimas honras tributadas por la religiosa piedad, el amor y respeto filial de nuestro amado Soberano %…</t>
  </si>
  <si>
    <t>…e Marzo. Aperas este ayuntamiento recibió la Real carta de S. M. de 28 de Di ciembre, en que como á ciudad devoto en cortes se dignaba noticiarla la muer te de su muy amada Esposa Doña María Isabel de Braganza, ordenan do, se hiciesen 1 s honras y funerales acostumbrados, dispuso desde luego ves tir'lisios y celebrar las honras con la misma pompa y aparato que de sus li bro1- de acuerdos resultaba haberse egecutado en las del Sr. Rey D. Carlos 3¡i y su augusta Espo…</t>
  </si>
  <si>
    <t>…a altura será de 6o pies: toda ella es.de piedra de tres clases, y contendrá los retratos del Sr. D. Garios iii, fundador del canal, y los del Rey nues tro Señor D. Fernando vii y Doña María Isabel de Braganza , su au gusta Esposa, de feliz memoria, y otros.diversos bajos relieves,de asuntos alusivos á la empresa. ; . f :I A la izquierda de la referida-pperta se estáfediricando una capilla, y i; ¿u lado una casa de administración con todas las oficinas correspondie…</t>
  </si>
  <si>
    <t>Braganza, María Isabel Francisca de</t>
  </si>
  <si>
    <t>María Isabel Francisca de Braganza</t>
  </si>
  <si>
    <t>…e 1818 ” Avila 22 de Enero. Él muy ilustre ayuntamiento de esta ciudad, penetrado del mas amargó sentimiento al recibir la infausta noticia de la muerte de la Reina.nuestra Señora Doña María Isabel Francisca de Braganza, que está en gloria, dispuso de acuerdo ¡con el limo, cabildo de. la Sta. iglesia catedral dirigir sus ardientes votos al Todopoderoso, en cuya sacrosanta religión no dudaba ha llar el alivio apetecido para el alma de tan virtuosa Soberana, y el consuelo nece…</t>
  </si>
  <si>
    <t>…Enero. * El ayuntamiento general de las merindades de Castilla la Vieja, penetra do del mas vivo sentimiento al recibir la infausta noticia de la muerte de la Reina nuestra Señora Doña María Isabel Francisca de Braganza (que está en gloria), dispuso, de acuerdo con su corregidor, dirigir sus ardientes votos al Todopoderoso en sufragio del alma de tan virtuosa Soberanay en su consecuencia el dia 12 del corriente celebró con toda la suntuosidad posible solemnísimas exequias en…</t>
  </si>
  <si>
    <t>…stro, abogado consultor del reino de Galicia &amp;c. Se hallará en pasta á 16 rs. en la librería fije Castillo, frente á $. Felipe el RealElegía á la muerte de la Reina nuestra Señora Doña María Isabel Francisca de Braganza, por D. Juan Nicasio Gallego, autor de Ja Elegía al Dos de Mayo. Se vende en la librería de Castillo, freiite á las gradas de S. Felipe ; én Sevilla en la de Caro, yren C^diz en la de Pajares, á 2 rs, ¿-j . -* EN LA IMPRENTA REAL. ’</t>
  </si>
  <si>
    <t>…Serna.” (Sí continuará Valencia 12 de Marzo. El Real cuerpo de maestranza de caballería de esta ciudad, luego que supo la inesperada y lamentable muerte de la Reina nuestra Señora Doña María Isabel Francisca de Braganza, en demostración de sus sentimientos de lealtad acordó se celebrasen'suntuosas exequias de la augusta difunta, ratifi cándose este acuerdó al recibir la noticia de la perdida de SS. MM. los Seño res Reyes Padres; y en su consecuencia se verificaron dichas exe…</t>
  </si>
  <si>
    <t>…la pérdida deja mejor de las Reinas. El ayuntamiento de esta ciudad desde el instante en que recibió la Infaus ta cuanto inesperada noticia de la muerte de la Reina muestra Señora Doña María Isabel Francisca de Braganza» y en seguida ia de los augustos Padres del Rey nuestro Señor, aunque consternado con tan desgraciado acon tecimiento, no por eso perdonó diligencia alguna para dar un público testi monio del sentimiento que le afligía, y manifestar del modo mas expresivo que…</t>
  </si>
  <si>
    <t>1030</t>
  </si>
  <si>
    <t>…mpas de las cuatro entregas de lá galería teatral, y se admiten suscripciones á razón de 1 2 rs. cada estampa de cuatro retratos. , ■ • Oración fúnebre por Ja Reina nuestra Señora Doña María Isabel Francisca de Braganza, predicada en la iglesia catedral de Lugo por el Sr. D. Manuel Fer nandez Vavela, predicador de S. M., de su Consejo, y deán de aquella santa iglesia, adornada de una rica viñeta, y con varias notas interesantes sobre el mérito y virtu des de la difunta Reina…</t>
  </si>
  <si>
    <t>Brancos, Jaime</t>
  </si>
  <si>
    <t>Jaime Brancos</t>
  </si>
  <si>
    <t>…la de D. Gaspar Tardío: én Toledo en la de D. Benito Lizana; en Ciudad Real en la de D. Francisco Morales; en Cuenca en la de D. Manuel Faustino de César; en Badajoz en la del Dr. D. Jaime Brancos; en Plasencia en la de D. JoseCP io López.Samaniego; en Villanueva de la Serena en la de D. Bernardo Bd^tip’enGranada en 'la del Dr. D. Manuel Lope? Mateos; en Málaga en la del T&gt;r. D., Jaime Alibau;.en Vigo en la del Dr: D. Julián Perez; en Santiago én la de…</t>
  </si>
  <si>
    <t>Brande</t>
  </si>
  <si>
    <t>…con saber que también encontraron-en la superficie de la tierra hierro- meteórico amontonado y en mucha cantidad, se comprenderá fácilmente el primer fenómeno. Ha biendo hecho el profesor Brande las pruebas acostumbradas con las muestras que sir Juan Ross trajo de dicho hierro, resultó ser de naturaleza igual á la de ciertas piedras meteórícas que suelen caer en latitudes mas meridionales con mezcla de nikel, que nunca se halla en las minas de hierro…</t>
  </si>
  <si>
    <t>…que encontraron en las montañas lejos de la costa; y aunque es verdad que los dos pedazos son de hierro meteorico, y tienen mezcla de nikel, según el análisis que de ellos hizo el profesor Brande, también es cierto que el mismo profesor reconoció una gran cantidad de ácido úrico en la materia colorante de la nieve , de donde infirió que seria efecto de excrementos de pajáros, sin embargo de que no te nia entonces noticia de la multitud de ellos que ex…</t>
  </si>
  <si>
    <t>Braoanza, María Isabel Francisca de</t>
  </si>
  <si>
    <t>María Isabel Francisca de Braoanza</t>
  </si>
  <si>
    <t>…a de Casti lla , Cámara de S. M., y primera de voto en cortes, penetrado del mas jus to sentimiento asi que recibid la noticia infausta de la temprana muerte de su Reina, y Señora Doña María Isabel Francisca de Braoanza, acordó la publicación de lutos en el día i.° de Enero, la que se verificó con toda la pompa y ceremonias de estilo. En seguida comisionó dos señores regidores y dos diputados del Común para que abocándose con los que el limo, cabildo mayor nombrase, convinie…</t>
  </si>
  <si>
    <t>Braqanza, Marta Isabel de</t>
  </si>
  <si>
    <t>Marta Isabel de Braqanza</t>
  </si>
  <si>
    <t>…e lá Montera, á .11 rs.. en pasta, y en papol ¡mas fino k 1 i eh'jpasta regulírí 16 empastadliiai, y 30 en tafilete:de varios colores. .S -Elogio latino-dé la Reina nuestra Señora Doña Marta Isabel de Braqanza y _ dé Bqrbon Cquecnt paz descanse),:que leyó á la Real academia latina en la sesión ^ de 17.de Enero el‘Dr. D. Manuel María de Arjoña, Canónigo penitenciario de Ja _ santadglesiA catedral de(Córdoba, y secretario:d§ literatura de d?ph? academia. Acom^ paña;…</t>
  </si>
  <si>
    <t>Bravo, Francisco Carbonell y</t>
  </si>
  <si>
    <t>Francisco Carbonell y Bravo</t>
  </si>
  <si>
    <t>134</t>
  </si>
  <si>
    <t>…en la librería de EspamiUa, calle de las Carretas , á 126 rs. en pasta. Fundamentos teóricos y prácticos del arte de teñir de M. J. Imisor, traducidos al castellano con notas por D. Francisco Carbonell y Bravo. Se vende en la librería de Martínez, frente á S. Felipe el Real. .................. ■' 1 ■ 1 ii——*■■■' m ,1 EN LA IMBREÑTÁ REAL.</t>
  </si>
  <si>
    <t>Brayer</t>
  </si>
  <si>
    <t>…haya prestado su consentimiento, ni tenga noticia siquie ra de su inversión ?** 1 - :ví Por un paquebote que ha llegado en estos últimos di as del Brasil se sabe que disgustado el general Brayer del mal trato que experimentaba en el egército de los insurgentes americanos había abandonado su servicio, retirándose á los Estados-Unidos. r - ■ j ■ i Han corrido algunas voces vagas é infundadas en orden á quiebras de casas de comercio , y algunos periódic…</t>
  </si>
  <si>
    <t>Breda</t>
  </si>
  <si>
    <t>…anes, pues son lo único que no puede enmendar el arte de’la civilización.” SUECIA. Stockohno 8 de Diciembre. Ha muerto últimamente en esta corte, de edad de 59 años, el profesor y caballero Breda,* artista del mayor mérito, y el primer pintor que tenia la Suecia en el género de historia. Hace un año que ademas de la sensible pérdi da del Rey y de la Reina, nos ha privado la muerte de muchas personas muy apreciables cada una por diferentes respetos, co…</t>
  </si>
  <si>
    <t>Bringas, Francisco Antonio</t>
  </si>
  <si>
    <t>Francisco Antonio Bringas</t>
  </si>
  <si>
    <t>…Núm, 81. D. J. F. 100. Nú mero 82. Doñá M. E. E. 300. Núm. 83. D. J. IX. 60. Núm. 84. D. Josef de Urue 4 Núm. 85. D. Gregorio Sánchez Madrid iox Núm. 86. D. Y. M. M. 100. Núm. 87. D. Francisco Antonio Bringas 2©. Núm. 88. D. C. R. 20. Núm. 89. D. Manuel Guerra 200. Núm, 90. D. I. de V. 160. Núm, 91* D N. 80. Núm. 92. D. J. M. 320. Núm. 93. D. M. T. 300. Núm. 94. D. C. R. 2co. Núm". 95. D. Juan Carretero 200. Núm. 96. La Real corpo ración de capellanes de honor 6©.…</t>
  </si>
  <si>
    <t>Bringas, Julián</t>
  </si>
  <si>
    <t>Julián Bringas</t>
  </si>
  <si>
    <t>…quiz, oidor del Consejo de Navarra. ' - ' ; De XJtiel. * A D. Francisco Manes. , ' . , ■ De Vivero. ' &gt; A D¿ Nicolás Bartolomé Alvarez Pardo. u . • ^ r De Carrion de los Condes. A D. Julián Bringas. ALCALDES MAYORES. . ^ T , De Medina de las Torres. " ‘ ^ A D. Carlos Angulo. ' ! ' De Fiñana. ’ * /. * , A D. Juan Antonio Bolaño. Délas poblaciones de Sierramorena. A D* Antonio Lafuente y Oquendo. : X , : . i - ^ De lo criminal y policía de Cádiz. A D. Joa…</t>
  </si>
  <si>
    <t>Brizuela</t>
  </si>
  <si>
    <t>…esde Rio-Janeiro á Lima á principios de 1818 ; noticia sobre reforma de abu sos en tiempo del Sr. Rey D. Felipe iv; discurso hecho en nombre del mismo Rey á la junta-grande por el obispo Brizuela, presidente de Indias; informe sobre el puer to de Valdivia; orden é instrucción de Isidro Cornado á Alonso de Amparáez , en viado desde el Callao á vigiar la mar; índice de los ocho tomos. Consideraciones im portantes hacen por ahora suspender este periódico…</t>
  </si>
  <si>
    <t>Brousin, Martin</t>
  </si>
  <si>
    <t>Martin Brousin</t>
  </si>
  <si>
    <t>…te en el Real astillero de Guarnizo , como testamentario de D. Angel López Villalobos, quien dejó declarado en su testamento los debía al citado Josef Blanco. Ciencia del giro por D. Martin Brousin: en esta obra, escrita con método y sen cillez, se explica la regla conjunta y su aplicación á los cambios,: se da noticia de das monedas de cuentas y de cambios de las principales plazas de Europa, y del mod# con que cambian unas con otras: se trata de los c…</t>
  </si>
  <si>
    <t>Bruna, Luis Fernandez</t>
  </si>
  <si>
    <t>Luis Fernandez Bruna</t>
  </si>
  <si>
    <t>…ajo, propia de los herederos de Alfonso Bermejo, situada en la calle Empedrada, que hace medianería por la derecha con finca de Fernanda Fernandez, y por la izquierda con otra del Sr. D. Luis Fernandez Bruna, y tiene de línea en su fachada 75! pies, y -por su fondo 176! pies, tasada en 15649 rs. vn. La persona que quisiere hacer pos tura á ella acuda aute dicho señor y escribanía dentro del término de 30 días, con tados desde el 5 del corriente, que se admitirán…</t>
  </si>
  <si>
    <t>Bruna, Luis Malendez</t>
  </si>
  <si>
    <t>Luis Malendez Bruna</t>
  </si>
  <si>
    <t>…o término de 10 dias, contados desde él eii'qu^ se publique en la gaceta,-á. todos los ¡que se contemplen acreedores é inte•tfesados por cualquier concepto en la testamentaría del Sr. D. Luis Malendez Bruna, -del Consejo de S. 'M. en el supremo de Castilla i marques que fue de Negron, para ;que dentro de él,lo hagan constar en el juzgado del non.inado señor alcalde, ppr 1 medio de procurador y poder suficiente^ con apercibimiento de que en su defecto les parará…</t>
  </si>
  <si>
    <t>Bruñe</t>
  </si>
  <si>
    <t>…ravillas dé lá h|iturá!jéza ydel^rte. , .... ..... v-;: : V,"' •;; "f ' ( -■ - FRANCIA. ' * . ! •; 'J • 1 RarU^ZdejMifo*' tr . .r -. f\ « f ■ JLos habitante^ dé- Brjp$T patria ^el mariscal Bruñe ,¡ han jsáítkip^do á lí'vlúSa de dicho 'generar qué han dispuesto levantar tilia' éstatüá en memo ria de .su esposo. *?’ •• '&gt;■ '•.f'f' '* f ■ ~n’ Eii una terrible tempestad qué descargo en los contornos dé Samur cerca de Boloña (paso .de Caláis) mató un rayo…</t>
  </si>
  <si>
    <t>Brussacco</t>
  </si>
  <si>
    <t>Gaceta de Madrid n.º 40</t>
  </si>
  <si>
    <t>…. El domingo 7 fueron admitidos á la audiencia del Emperador para pre sentar sus credenciales los Sres. Campbell, ministro plenipotenciario de los Estados-Unidos de América ¿ y el conde Brussacco, embajador de la corte de Cerdeña. El comisario prusiano Mr. Semler tuvo su audiencia de despedida, y en seguida se presentó el enviado del Emperador de Persia Hassan-Kan, encargado de ofrecer á S. M. I. 13 caballos padres persas, árabes y turcos, que el Scha…</t>
  </si>
  <si>
    <t>Bu, María</t>
  </si>
  <si>
    <t>María Bu</t>
  </si>
  <si>
    <t>68</t>
  </si>
  <si>
    <t>…...... En virtud de providencia de) Sr« TV Angel Fernandez de ¡los Ríos , del Consejo de S. M., teniente primerode corregido^ de.esta muy heroica villa, se cita, llama y emplaza á Doña María Bu ilf, que ha sido buscada en Zaragoza como pueblo de su domicilio, y resulta no haber noticia de ella-, para que dentro de 30 días, contados desde 15 del corriente, comparezca por sí ó por medio de procurador á decir de su derecho en la instancia pendiente ant…</t>
  </si>
  <si>
    <t>Bucelly, Ramón</t>
  </si>
  <si>
    <t>Ramón Bucelly</t>
  </si>
  <si>
    <t>…cirugía de egército á D. Baltasar Ibañez, cirujano residente en la villa de Torrente de Cinca; á D: Carlos Mallo, cirujano establecido en esta corte; á D. Pe dro Surra y Rull, y á D. Ramón Bucelly , residente en la ciudad de Zara goza, en premio de los servicios que han contraído en la última guerra; -de clarando al mismo tiempo S. M; le ha sido muy grata la cesión que respecti vamente han hecho de la pensión anual, que con arreglo á la Real orden cir…</t>
  </si>
  <si>
    <t>Bueno, Gerónimo</t>
  </si>
  <si>
    <t>Gerónimo Bueno</t>
  </si>
  <si>
    <t>…. iit. ElExcmo. Sr. duque de Lava! Monttnorenzi y de S. Fernando Luís 2®. Nutn. 112. El señor cura de Santiago de Madrid, por limosnas recibidas de sus feligreses &gt; 730. Núm. 11V. D. Gerónimo Bueno too, Nutn. 114. D. M. N. 20. Núm. 115. El señor'cura de S. Pedro de Madrid, de limosnas que le han dado sus feligreses, 26. Núme ro iió. D. N. X. 40. Nutn. 117. D. M. D. S. y D. 100. Núm. 118. Don E. C. 60. Núm. 119. D. M. C. y M.C. tres libramientos de inter…</t>
  </si>
  <si>
    <t>Bueno, Lorenzo</t>
  </si>
  <si>
    <t>Lorenzo Bueno</t>
  </si>
  <si>
    <t>…Real alcázar son muy apreciables , y sirven para ilustrar la historia. Véndese á 4 rs. en rústica en la librería de Sanz, calle de las Carretas, y en Segovia en la casa tienda de D. Lorenzo Bueno. EN LA IMPRENTA REAL.</t>
  </si>
  <si>
    <t>Bueno, Salvador</t>
  </si>
  <si>
    <t>Salvador Bueno</t>
  </si>
  <si>
    <t>…rarse su rematé para el diá 17 de Abril en el arrabal de Huertas de Aniiííasde la ciudad de Ttujiilo. : Se desea saber el paradero de Doña María Lóreto Bueno y Montérosa , hija de D. Salvador Bueno y Doña María Montérosa , ó de sus. hijos, que en la villa de Bornos / arzobispado de Sevilla, tienen parte de una herencia. •' • D. Andrés Sánchez Izquierdo, capellán mayor de las monjas de D. Juan de AlarCon dé esta corte , dará razón donde se halla umtéstiniónio de nobleza compue…</t>
  </si>
  <si>
    <t>Bueno.Jipencía, Josef María Troncoso y</t>
  </si>
  <si>
    <t>Josef María Troncoso y Bueno.Jipencía</t>
  </si>
  <si>
    <t>…ndo de Peñalver, y á los de sus ascendientes, se ha dignado S. M. con cederle lá ilaye de gentilhombre de Cámara con entrada. c .* . El Rey. nuestro Señor se ha dignado conceder á D. Josef María Troncoso y Bueno.Jipencía para usar .de la condecoración de la flor de Lis con que ha pdo agraciado por S.M...Cristianísima. ,¡ Asimismo se ha servidoS. M. conceder su Real permiso á D. Miguel Martínez’Alvarez para poder usar de la referida condecoración dé la flor de Lis con que tamb…</t>
  </si>
  <si>
    <t>Buenos-Aires</t>
  </si>
  <si>
    <t>…s creción dé rehusar las demostraciones de gratitud pública con que quería ob sequiarle una gavilla de revoltosos. • Se ha negado el Gobierno á admitir á. Mr. Deforest como cónsul general Buenos-Aires, atendiendo á quesería reconocer aquel Gobierna revolu cionario. FRANCIA. , , • París jo de Marzo. ' „ Ayer á las nueve de la noche llegó á esta capital el conde de Regnault de St-Jean„d’Angely, á quien había:-concedido el Rey su permiso para volver á Francia…</t>
  </si>
  <si>
    <t>Buril, Juan de Oronel</t>
  </si>
  <si>
    <t>Juan de Oronel Buril</t>
  </si>
  <si>
    <t>…de dicha villa, hecho en el año de 1807'. 18. Unas escrituras de venta de la propiedad y directo, .dominio de un oficio de regidor, perpetuo de la ciudad de Cuenca , otorgadas por D. Juan de Oronel Buril!o\ natural de ella, y residente en la villa de Guenaehe , en favor* de D. Josef Antelo y Villoría, presbítero de dicha ciudad de Cuenca.</t>
  </si>
  <si>
    <t>Buróz, Justo</t>
  </si>
  <si>
    <t>Justo Buróz</t>
  </si>
  <si>
    <t>…santa iglesia catedral de Xíéridá de Maracaibo á D Josef de la.Cruz Olivares: para la ración que se halla va-, cante en la santa iglesia metropolitana de Caracas , por ascenso de D. Justo Buróz. á una canongía de la misma , á D. Bartolomé Cerdá, Asimismo se ha dignado nombrar para la asesoría de la intendencia de, Soaora, vacante por fallecimiento de D. Alonso Fresierra, á D. Pedro Josef-</t>
  </si>
  <si>
    <t>Büsé, Polonia</t>
  </si>
  <si>
    <t>Polonia Büsé</t>
  </si>
  <si>
    <t>…nio Abad: Doña Máría N¡-r dó, discípula y pasanta dé la Real escuela ¿fel barrio de Mpnterey: Doñí' María Caballero, discípula pasanta dé la Real escuela del barrio de S-Plá cido: Doña Polonia Büsé ,. discípula y pasánta dé ía Real esbuéíá del birftó* del Humilladero: Dona Antonia Rodríguez, discípula y pasanta de la Real escuela del barrio de la Trinidad: Doña"Ménica Da 1 vega, discípula y pasanta dé la Real escuela del barrio de S. Luis: Doña Juana de…</t>
  </si>
  <si>
    <t>Bustamante</t>
  </si>
  <si>
    <t>…o su buena fama con mil dicterios; sobre lo cual, habiéndose se*guido causa por la Real sala del crimen de la’Real audiencia de'Zaragoza, se declaró-injusta Ja muerte del referido coronel Bustamante., Imponiendo á los cómplices las penas que tuvo por convenientes. Pona María .Benita Vida^ Viuda del expresado coronel D. Vicente Bustamante, .acudió con posteriori-r dad á S. M. ,en solicitud de que se declarase á su marido por buen .militar, y Jfiel servido…</t>
  </si>
  <si>
    <t>Bustamante, Anastasio</t>
  </si>
  <si>
    <t>Anastasio Bustamante</t>
  </si>
  <si>
    <t>…cilla Bustamante, rae propuse perseguir á este faccioso, que sin duda era el principal de los rebel des de Jalpa; y alefecto, habiendo entregado el convoy en Salamanca al co ronel D. Anastasio Bustamante, me puse á la cabeza de la sección de mi in mediato mandó, y por contramarchas y sorpresas verificadas en diversos pun tos con. varias partidas, logré la noche anterior la aprehensión del expresado rebelde Bustamante con otros seis, cuyo pormenor luego que se…</t>
  </si>
  <si>
    <t>Bustámante, Josef de</t>
  </si>
  <si>
    <t>Josef de Bustámante</t>
  </si>
  <si>
    <t>…cardenal arzobispo de Toledo; D. Josef Sebastian de Goyeneche, obis po de Arequipa; D. Baltasar Hidalgo de Cisneros; D. Carlos Urrutia, capi tán general de Goatemala; el teniente general D. Josef de Bustámante, y el mariscal de campo D. Pascual Liñañ. Comendadores de la misma, D. Ignacio Adalid Gómez de Pedroso, vecino de México; D.JNicolas Pícoaga, coronel graduado de milicias; D. Antonio Gutiérrez de UÍloa, in tendente de Nueva-Galicia; D. Mariano Antonio de Novo…</t>
  </si>
  <si>
    <t>Bustamante, Josef Tagte</t>
  </si>
  <si>
    <t>Josef Tagte Bustamante</t>
  </si>
  <si>
    <t>…misma. A D. Ignacio Guseme, alcalde del Crimen de la chancillería de Granada. HONORES DE ALCALDES DEL CRIMEN DE LAS CHANCILLERIAS Y AUDIENCIAS. De la chancillería de Valíadalid. A D. Josef Tagte Bustamante, asesor del Real sitio de Aran juez; Don Francisco María Sánchez Castilla, corregidor de Aranda de Duero; D. Juan de Orduña y Angel, alcalde mayor del Real sitio de S. Lorenzo, y D. Jo sef de Urrutia, agente fiscal segundode la junta suprema patrimonial de Ap…</t>
  </si>
  <si>
    <t>Bustamante, Juan Labastida y</t>
  </si>
  <si>
    <t>Juan Labastida y Bustamante</t>
  </si>
  <si>
    <t>…Juan DFIerve y Paredes, Don Francisco Navas Garro de Ulloa, D. Antonio Solís y González, D. Julián Giraldo y Molina, D. Joaquín Muñoz y Larraiñzár ¿ D; Salvador Hidalgo y Sarria, D. Juan Labastida y Bustamante, D. Vicénfe MazeyLizknn de Cano Manuel, D. Cayetano Vivanco y Young, D Josef Avila y Miranda, Don Antonio Ibañez y Ortega, D. Gregorio Aso Travieso, D. Mariano Fernan dez Tejeiro, D Bartolomé ,Gil de Padilla, D. Francisco Ugarte y Epalza, D. Jo«ef Ibañez y Or…</t>
  </si>
  <si>
    <t>Bustamante, P. Vicente</t>
  </si>
  <si>
    <t>P. Vicente Bustamante</t>
  </si>
  <si>
    <t>…/Señor; y previo el dictamen de su supremo Gonsejo de la Guerra, por Real orden de 6 de'Marzo ú\fimo se sirvió S. M., defiriendo á la justa solicitud de ía interesada, declarar al coronel P. Vicente Bustamante inocente, fiel servidor é injustamente,asesinado, sin que su buena .Opinión deba padecer por uno de aquellos actos violentos que desgraciada mente ocurrieron al principio de la pasada guerra; y por otra Real orden dé 40 de Junio :se ha dignado S. M. resolver…</t>
  </si>
  <si>
    <t>Bustamante, Vicente</t>
  </si>
  <si>
    <t>Vicente Bustamante</t>
  </si>
  <si>
    <t>…ue en los días 15, i'ó y 17 del mismo, lo que proporciona á los concurrentes mayor comodi dad para poder desde día pasar á la que se celebra .en Trujillo. ■ ■ . ' ■ ’ \ El coroné! D. Vicente Bustamante, teniente de Rey que fue de la plaza de Zaragoza, y gobernador del castillo de la AIjafería, acredito siempre su constante honradez, integridad y zelo por el servicio de S. M., y durante el primer sitio de Zaragoza estuvo desempeñando su.empleo de teniente de…</t>
  </si>
  <si>
    <t>Butrón, Josef Butrón y</t>
  </si>
  <si>
    <t>Josef Butrón y Butrón</t>
  </si>
  <si>
    <t>…D. Francisco Vargas y Mathews, D. Cayetano Pilón y Tovalina, D. Calixto Paredes y Lardin, D. Josef Castellani y Ximenez , D- Francisco Nuñez y Pascual, D. Pedro Junquera y Velez, D. Josef Butrón y Butrón, Df Josef Rigada y ¡Llano y D. Esteban Hidalgo de Cisneros, . . ? Queriendo el Rey nuestro Señor recompensar los buenos servicios, distin guidos méritos é inconcusa fidelidad del conde de S. Xavier y Casa-Laredo, se ha dignado condecorarle con la gran cruz de…</t>
  </si>
  <si>
    <t>C, A.</t>
  </si>
  <si>
    <t>A. C</t>
  </si>
  <si>
    <t>…s feligreses, 200. Núm. 146. D. E. M. 100. NútTK.147. D. L. T. 60. Núm. 148. D. B. C. 120. Núm. 149. Doña J. G. y D. T. A. 40. Num.-150. D. J. L. y Doña María C. L. 400. Núm. 151. D. A. C. 220. Núm. 152. D. Faustino Sánchez Sevillano 200. Núm. 153. D. N. 160. Núm. 154. D. F. F. C. 320 rs. y 24 mrs Núm. 155. El Excmo. Sr. Nuncio de S. S. 1®. Núm. 156. D. J. Y. A. 320. Núm* 157. D. J. L. T. 60. Núm. 158. Doña N. 6. Núm. 159. Doña F. V* 100. Núm.…</t>
  </si>
  <si>
    <t>C, A. B.</t>
  </si>
  <si>
    <t>A. B. C</t>
  </si>
  <si>
    <t>…F. X. L.&lt; 300. Núm. 636. El deán y cabildo de la santa iglesia metropolitana de Burgos 3®. Númf 637. Doña N. ióp. Núm. 638. El Ilmo.Sr. arzobispo obispo de Ba dajoz -*é; Núm. 639. D. A. B. C. un vale no consolidado de 400 pesos que prctátiiotén iftetálicp¡658 rs. Núm. EPeabildo dé la cblégial dé San 3P«d'í¿ de Soria 400^ Núm. Ei cumiy- veCinos dellugardeMa tanza-, en</t>
  </si>
  <si>
    <t>C, B.</t>
  </si>
  <si>
    <t>B. C</t>
  </si>
  <si>
    <t>…. V. y M. 100. Núm. 14^. D. Francisco Mu ñoz, cura de Sta. Cruz de Madrid, por limosnas recibidas de sus feligreses, 200. Núm. 146. D. E. M. 100. NútTK.147. D. L. T. 60. Núm. 148. D. B. C. 120. Núm. 149. Doña J. G. y D. T. A. 40. Num.-150. D. J. L. y Doña María C. L. 400. Núm. 151. D. A. C. 220. Núm. 152. D. Faustino Sánchez Sevillano 200. Núm. 153. D. N. 160. Núm. 154. D. F. F. C. 320 rs. y 24 mrs Núm. 155. El Excmo. Sr. Nuncio de S. S. 1®. Nú…</t>
  </si>
  <si>
    <t>C, E.</t>
  </si>
  <si>
    <t>E. C</t>
  </si>
  <si>
    <t>…4. D. M. N. 20. Núm. 115. El señor'cura de S. Pedro de Madrid, de limosnas que le han dado sus feligreses, 26. Núme ro iió. D. N. X. 40. Nutn. 117. D. M. D. S. y D. 100. Núm. 118. Don E. C. 60. Núm. 119. D. M. C. y M.C. tres libramientos de intereses de va les Reales importantes 180 f rs. Núm. 120. El señor cura de S. Sebastian de Ma drid, por limosna de una feligresa suya., 1®. Núm. 121.D. P.320. Núm. 1224 D. F- S. 320. Núm. 123. D. F. Conejo 1…</t>
  </si>
  <si>
    <t>C, F. F.</t>
  </si>
  <si>
    <t>F. F. C</t>
  </si>
  <si>
    <t>…Núm. 149. Doña J. G. y D. T. A. 40. Num.-150. D. J. L. y Doña María C. L. 400. Núm. 151. D. A. C. 220. Núm. 152. D. Faustino Sánchez Sevillano 200. Núm. 153. D. N. 160. Núm. 154. D. F. F. C. 320 rs. y 24 mrs Núm. 155. El Excmo. Sr. Nuncio de S. S. 1®. Núm. 156. D. J. Y. A. 320. Núm* 157. D. J. L. T. 60. Núm. 158. Doña N. 6. Núm. 159. Doña F. V* 100. Núm. ióq. D. A. R. Z. 100. Núm. 161. D. J. A. A. 120. Nú mero 162. D. N. 320. Núm. 163. D. F. F. 6…</t>
  </si>
  <si>
    <t>C, F. M.</t>
  </si>
  <si>
    <t>F. M. C</t>
  </si>
  <si>
    <t>…limo. Sr. obispo de Sigüenza 6©. Núm. 313. Doña M. G. C. 20. Núm. 314. C. M. 1©. Núm. 315.M. de S.N. 1©. Nú mero 316. D. Miguel Gasa Juana 100. Núm. 317 . D. J..P. 100. Núm. 318. D. F. M. C. 4©. Núm. 319. D. N. 20. Núm. 320. D. F. T. F. 40. Núme ro 321. El Excmo. Sr. marques de Bélgida 320. Núm. 322. D. J. M. M. 60. Núm. 323. Doña E. M. 30. Núm. 324. Un ugier dé Cámara del Real cuar to y sérvidumbre del Rey nuestro Señor 80. Núm. 325. Los señores…</t>
  </si>
  <si>
    <t>C, G.</t>
  </si>
  <si>
    <t>G. C</t>
  </si>
  <si>
    <t>…Blanco 20. Nú mero =52. El señor cura cíe S. Ginés, por limosnas que le han entregado algu nos feligreses, 212. Núm. 53. D. Esteban Morales 40. Núm. 54. D. Q. B. H. 500. Núm. 55. Doña G. C. 40. Núm. 56. D. Rafael Guzman 10. Nú-</t>
  </si>
  <si>
    <t>C, J.</t>
  </si>
  <si>
    <t>J. C</t>
  </si>
  <si>
    <t>…López 20. Número 394. La comunidad de Escuetas Pías de S. An tonio Abad de Madrid 320. Núm. 395. El autor y compañía cómica del co liseo de la Cruz de esta,-corre 1500. Núm. 396. D. J. C. 20. Núm. 397. Do ña M. R. 8. Núm. 398. D. A. Z. 100. Núm. 399. Un señor eclesiástico 160. Núm. 400. Doña M. R. 80. Núin. 401. D. B. P. 40. Núm. 402. D. A. L. 120. Núm 403. D: B. J F. 120. Núm. 404. D. M. y R. óo. Núm. 403. Los señores cuestores del cuartel de…</t>
  </si>
  <si>
    <t>…d de'Peñíscola 366. Nutn. 592. Doña,Tr Q. 60. Núm. 593. Don, A. L. G., por el producto de recibos de intereses de vales , importantes 270 rs. y 251 mrs., 6 rs., y 5 mrs. Núm. 594. D. J. C. .29. Núm. 5 9 5.. Un ma- , uimonio dé la. ciudad de Vitoria 300. Núm. 596. D. N., 20 rs, y. 24 mrs.</t>
  </si>
  <si>
    <t>…úm. 673. El‘Real monasterio de S. Benito de Sagunto 640. Núm. 674. D. F. S. 22 rs. y 6 mrs. Núm. 675. D. J. R. 20. Núm. 676. Un limo. Sr. obispo 320. Núm. 677. D. N. 40. Núm. 678. D. J. C. 20. Nú mero 679. Doña J. L. 40. Núm. 680. D. N. 40. Núm. 681. La compañía de actores, individuos de la,orquesta y demas dependientes del coliseo' de la Cruz de esta muy heroica Villa, por producto de una función extraordinaria que han egecutado , 22428. Núm.…</t>
  </si>
  <si>
    <t>C, J. J</t>
  </si>
  <si>
    <t>J. J C</t>
  </si>
  <si>
    <t>…o 6331. Nú mero 435. D. Nicolás García Puente un recibo de 120. Núm .36. D. G. R. L. 160. Núm. 437. D. N. 40. Núm. 438. D. M. C. E. 100. Núm. 439. Dar ña J P. R. R. 100. Núm. 440. D. J. J C. 34. A‘imiimo se han suscrito las personas siguientes: Número 37. D. Francisco Xavier y su hijo D. Julián, durante ?a epide mia, con 30 rs. mensuales. Núm. 38. Doña C. F , por ídem, con 2 rs. dia rios, Núm. 39. D. Josef Liona y su consorte Doña Josefa Liona, p…</t>
  </si>
  <si>
    <t>C, M.</t>
  </si>
  <si>
    <t>M. C</t>
  </si>
  <si>
    <t>…. 489. Un ayuda de cámara que fue del augusto Padre de S. M. 60. Núm. 490. ^Euge nio Gil 20. Núm. 491. El Excmo. é limo. Sr. obispo de Avila 320. Núme ro 492. D. N. 500. Núm. 493. D. M. C. 500. Núm 494, El Excmo. Señor conde de Parcent y Contamina 90°* Núm. 495. El limo. Sr. D. Andrés Es teban, obispo de Jaén, 2®. Núm. 496. Ei colegio de Madrid, de escribanos notarios de los reinos, á nombre de todos sus individuos, i®. Núm. 497;J30n J. A. 66 r…</t>
  </si>
  <si>
    <t>C, M. G.</t>
  </si>
  <si>
    <t>M. G. C</t>
  </si>
  <si>
    <t>…cuartel de Palacio 848 rs. y 14 -mrs. Núm. 310. Los señores cuestbres del cuartel de Avapies 600. Núm 311. .Doña M. L. 40. Núm. 312. El limo. Sr. obispo de Sigüenza 6©. Núm. 313. Doña M. G. C. 20. Núm. 314. C. M. 1©. Núm. 315.M. de S.N. 1©. Nú mero 316. D. Miguel Gasa Juana 100. Núm. 317 . D. J..P. 100. Núm. 318. D. F. M. C. 4©. Núm. 319. D. N. 20. Núm. 320. D. F. T. F. 40. Núme ro 321. El Excmo. Sr. marques de Bélgida 320. Núm. 322. D. J. M. M. 60…</t>
  </si>
  <si>
    <t>C, M. L. S.</t>
  </si>
  <si>
    <t>M. L. S. C</t>
  </si>
  <si>
    <t>…. 3. Númeijé £37. D. Joaquín Ibañez . 109.. Núm. 238. Doña C. R. 40.'Nú». &lt;^39. -Doíi G.rP- tGo, Núm*,240. D. Josef Mauri oo* Núm. 341. Doña Anastasia* &gt;£$*13 zaíez 160. Núm. 243. D. M. L. S. C. 300. Núm, 243. ,D. Ambrosio ;Gar¿j¿ de -la Riestra- 40. Ñúm. 244.., ;D. J. Ja P.; 40; Núm. 24 5. D. J, F.i Q, Núm. 246. El teniente coronel D. Juan Delgado 200. :Núm.; 247. ÉLreverr rendísimo P. M. vicario general de una de las.cuatro -órdenes mendicantes^ po…</t>
  </si>
  <si>
    <t>C, N.</t>
  </si>
  <si>
    <t>N. C</t>
  </si>
  <si>
    <t>…ta 25. Núm. 69. Don Santiago Antonio de Unza 80. Núm. 70. D. A. E. 70. Núm. 71. D. Domin go Riesco 60, Núm. 72. El Excmo. Sr. D. Joaquín Blake ico. Núm. 73. Don M. B. 60. Núm. 74, D. N. C. 320. Núm. 75. D. J. M. 60. Núm. 76. Don J. S. 160. Núm. 77. D. N. C. 20. Núm. 78. í). Josef Ribera 3C0. Núm'. 79. Los Sres. N. S. 800. Núm. 80. D. V. R. 20. Núm, 81. D. J. F. 100. Nú mero 82. Doñá M. E. E. 300. Núm. 83. D. J. IX. 60. Núm. 84. D. Josef de Urue…</t>
  </si>
  <si>
    <t>C, P.</t>
  </si>
  <si>
    <t>P. C</t>
  </si>
  <si>
    <t>…22Í*¿tak;'&amp;&amp; 'Melania Bretón, primera, bailarina de los teatros pstíf corrte v jop, Nún^. 2.29. D. N. N. ioo.;:Núm.; ?3p. D..Nicolás. Villa '8o.-Núm. ..23.1* D. N. 20. Núm.. 232. Doña P. C. 40. Núm. 233. D. E, G. 180. 1^4111.^234^ Doña Ana M. M. 10. Núm., 235. D. N. 240. Núm. 236. D. N. 3. Númeijé £37. D. Joaquín Ibañez . 109.. Núm. 238. Doña C. R. 40.'Nú». &lt;^39. -Doíi G.rP- tGo, Núm*,240. D. Josef Mauri oo* Núm. 341. Doña Anastasia* &gt;£$*13 zaíe…</t>
  </si>
  <si>
    <t>…abildo de la catedral de Tuy i®. Núm. 645. D. N. 160. Núm. 646. El limo. Sr. deán y cabildo de la catedral de Sigüenza T2oo. Núm. 647. El ilustre paborde de Manresa 300. Núm. 648. Don P. C. jo. .Núm. 649* D- N. io; Núm. Sjsás religiosos dominicos 640. Num. 651 - D. G. G. 60. Núm. 65 2. Dps. feligreses de la parroquia de San Andrés de Madrid, por mano de su párroco, 60. Núm. 653. Un feligrés de S. Sebastian de Madrid, por mano de su párroco, 8. N…</t>
  </si>
  <si>
    <t>C., M.</t>
  </si>
  <si>
    <t>M. C.</t>
  </si>
  <si>
    <t>…ún de 150 pesos , creación i.° de Enero de 1819 con el número 6331. Nú mero 435. D. Nicolás García Puente un recibo de 120. Núm .36. D. G. R. L. 160. Núm. 437. D. N. 40. Núm. 438. D. M. C. E. 100. Núm. 439. Dar ña J P. R. R. 100. Núm. 440. D. J. J C. 34. A‘imiimo se han suscrito las personas siguientes: Número 37. D. Francisco Xavier y su hijo D. Julián, durante ?a epide mia, con 30 rs. mensuales. Núm. 38. Doña C. F , por ídem, con 2 rs. dia rios,…</t>
  </si>
  <si>
    <t>Cabrejas, Salustiano Mayordomo</t>
  </si>
  <si>
    <t>Salustiano Mayordomo Cabrejas</t>
  </si>
  <si>
    <t>…ober nador de la sala del crimen de la insinuada audiencia de Valencia, los hono res de alcalde de Casa y Corte: honores del tribunal Apostólico y Real de la Gracia del Excusado á D. Salustiano Mayordomo Cabrejas, fiscal de la co misión Apostólica del subsidio extraordinario del clero; y honores de alcalde del crimen de la chancillería de Valladolid á D. Agustín Tosantos y Laprada, corregidor de la ciudad de.Falencia, y de ía de Granada á D. Josef Ma&gt; ceda, alcalde ma…</t>
  </si>
  <si>
    <t>Cabrera, JNahéíScó de Paula Eseúdéró y</t>
  </si>
  <si>
    <t>JNahéíScó de Paula Eseúdéró y Cabrera</t>
  </si>
  <si>
    <t>Gaceta de Madrid n.º 50</t>
  </si>
  <si>
    <t>426</t>
  </si>
  <si>
    <t>…n 1817 valor dé 150.708© por 3.85 2© marcos de banco.. ’ ;■ - : ■ . ’ % \ \ ; ESPAÑA. V'alverMe del Camino, en el condado de Niebla , rp de Enero, , ... tóbléndó recibido 'el Lie. D. JNahéíScó de Paula Eseúdéró y Cabrera, atfcéídé ’mny'ór de ésta Villa, la ihfaüsta noticia del fallecimiento de la Reina ñuésTra Señora Doné Maíuá IsXb'ei. í&gt;é Bragaíjza, la comunicó en cabildo extraordinario qüé ftfahdd r'éü'ñir j y en tíiiióñ con él cabildo eclesiástícó écórdáMñ que sé 'celebra…</t>
  </si>
  <si>
    <t>Cabrerizo, Mariano de</t>
  </si>
  <si>
    <t>Mariano de Cabrerizo</t>
  </si>
  <si>
    <t>…, novela francesa, puesta en español por el doctor D. Luis Mpnfort, presbítero : cuatro tomos en 12.0 con una lámina al fron-" tis, tercera de la colección que publica en Valencia D. Mariano de Cabrerizo. .El* autor pinta en esta novela el lastimoso,cuadro de la? funestas consecuencias de una educación fanática y supersticiosa como la de Vieland, privada de la ilustración del . evangelio. Los suscriptores podrán acudir á recoger sqs egemplares á la librería d…</t>
  </si>
  <si>
    <t>Cabrero, Pablo</t>
  </si>
  <si>
    <t>Pablo Cabrero</t>
  </si>
  <si>
    <t>…Josef Valls de Roca 200. Nú mero 12. Doña N., viuda, 20. Núm. 13. D. N. 100. Núm: i4. D. N. 20. Nú mero 15. Doña Feliciana de Arza 120. Núm. 16. El brigadier Beza óo. Núme ro 17. D. Pablo Cabrero* y su esposa Doña Josefa Martínez 1300. Núm. ig. D. N. 60. Núm. 19. D. N. 40. Núm. 20. D. J. M. 160. Núm. 21. D. A. G. 2©. Núm. 22. D. N. 300. Núm. 23. D, N. 4. Núm'. 24. D. Custodio Alcaldeun vale Real de 150 pesos. Núm. 25. D. N. 100. Núm. 26. Doña N. 20. N…</t>
  </si>
  <si>
    <t>Cáceres, Josefa</t>
  </si>
  <si>
    <t>Josefa Cáceres</t>
  </si>
  <si>
    <t>…novación inmediata eran tales tenedores, del primero el Sr. D. Juan Bernardo Quiroga y Uria, dei segundo D. Juan Roca y Juan, del tercero D. Ro que Blanquer, y del cuarto y último Doña Josefa Cáceres, para que dentro del tér mino de 30 dias acudan ante el juzgado de dicho señor y escribanía del número del cargo de D. Pascual Secó, por medio de procurador con poder bastante, á usar de sus acciones en los autos que ha prorñovido 'D. 'Oaspar de Víllarroya, c…</t>
  </si>
  <si>
    <t>Cacho, Juan Sánchez del</t>
  </si>
  <si>
    <t>Juan Sánchez del Cacho</t>
  </si>
  <si>
    <t>1247</t>
  </si>
  <si>
    <t>…9 del pasado se presentó én la cosa de comercio de la misma, ti tulada Vallarin Buisan.y hermanos, cierto sugeto que dijo llamarse D. Joa quín Morales, quien presentó una carta de D. Juan Sánchez del Cacho, de Zaragoza , corresponsal de aquella , para la entrega de 20© rs; , habiendo reci bido en el mismo correo el aviso correspondiente al efecto. Por las sospechas que indujo el citado Morales fue detenido en la Real cárcel, y hechas las cor respondientes averi…</t>
  </si>
  <si>
    <t>Cadalso, Josef</t>
  </si>
  <si>
    <t>Josef Cadalso</t>
  </si>
  <si>
    <t>…r derecho á los bienes que ha dejado, acudi rán á deducirle ante el alcalde mayor de ella, juez de la testamentaría, dentro de dos meses contados desde esta publicación.. Obras de D. Josef Cadalso, comandante ,de escuadrón del regimiento de Borbón, y caballero del hábito de Santiago. Esta nueva edición no solo comprende todas las obras del autor conocidas y apreciadas hasta ahora por el público, sino algu nas otras inéditas, que solo'existían manuscrit…</t>
  </si>
  <si>
    <t>Cadanes, Petronila</t>
  </si>
  <si>
    <t>Petronila Cadanes</t>
  </si>
  <si>
    <t>…dados por D. Juan de Hinojosa y Doña Teresa Calderón su muger. ¿ ; 7.0 : Testimonio de la pertenencia de un erecto contra Madrid y, la sisa de 8© ducados de principal en cabeza de Doña Petronila Cadanes. C 8.° Testimonio sacado por concuerda del privilegio ganado! por] el lugar de Paracuellos, seguido con la villa de Madrid, su procurador y abastecedor res de cámesúque han sido en ella, sobre aprovechamiento de. pastos.: 9.0 Real egecutoria del mayorazgo que…</t>
  </si>
  <si>
    <t>Cadenas, Francisca</t>
  </si>
  <si>
    <t>Francisca Cadenas</t>
  </si>
  <si>
    <t>…creación de i.° de Enero dé 1808, señalados con los números 376,846, 375,382 y 376,770: á D. Joaquín Guerra, á los señores viuda de Nolivos, Campo y compa ñíaá D. Martin Monzon,á Doña Francisca Cadenas, i D. Guillermo Metnbiela, ádX Francisco López de las Herrerías y áJD. Rafael Goirí , ¿ quienes .también se hallan, eindbsados respectivamente nueve vales Reales de 150 pesó?, de la misma creación de i.° de Enero de 808, marcados con -lós números 344,846, 304…</t>
  </si>
  <si>
    <t>Cafranga, Josef de</t>
  </si>
  <si>
    <t>Josef de Cafranga</t>
  </si>
  <si>
    <t>…político del conde de S. Xavier; D. Fernando Mesía y Chacón, alférez de la ciudad de Ubeda; D. Antonio María Montenegro y Carantoña, coronel del regi miento provincial de Orense; D. Josef de Cafranga, oficial mayor menos an tiguo de la secretaría del Despacho de Gracia y Justicia, y D. Anastasio Francisco de Arraenteros, brigadier de los Reales egércitos. Mayordomos de Semana. A D. Joaquín Montenegro; D Santiago Mendez de Vigo; D. Manuel de Rosales; D. In…</t>
  </si>
  <si>
    <t>Cagigal, Efc Juan Manuel</t>
  </si>
  <si>
    <t>Efc Juan Manuel Cagigal</t>
  </si>
  <si>
    <t>…so se ha publicado en todos los puertos de Francia. ESPAÑA. Idavana 11 de Setiembre. El 29 del pasado fondeó'ep este puerto la fragata de guerra Sabina, qué ha conducido al Excmo. Sr. Efc Juan Manuel Cagigal, quien tomó posesión de este Gobierno político y capitanía general el mismo día: los 3© hombres que venían á sus órdenes en'12 transportes han sido destinados por S. E. á las for talezas y á completar los regimientos de la guarnición. ‘ Keus i.° de Noviembre.…</t>
  </si>
  <si>
    <t>Cahciller</t>
  </si>
  <si>
    <t>…apitán Hopp, «na multitud de cb^‘ lonos escoceses que se dirigen á Polonia. : - j . Berlín 20 de Abril. ¿ Carece de todo fundamento, según la gaceta de oficio, la noticia deque él príncipe Cahciller vuelve á Aquisgran, y que ha tomado otra vez en arren damiento lacasade Bettendorm » .,/nq ' En el mismo' periódico se lee el artículo siguiente!: ,,Esperamos que la gaceta universal desmienta en mío de sus números próximos la especie del al-1 boroto que se h…</t>
  </si>
  <si>
    <t>Caí</t>
  </si>
  <si>
    <t>…asesinato de Mr. Kotzebue, copiada de los periódicos alemanes, sin hacer reflexión nin guna sobre este triste acontecimiento. , Coa.motivo de la muerte del Rey Padre de España el Sr. Caí los iv,</t>
  </si>
  <si>
    <t>Cainpomanes, Pablo Martin</t>
  </si>
  <si>
    <t>Pablo Martin Cainpomanes</t>
  </si>
  <si>
    <t>…tírias 40. Núm. ¿147. La Real casa de Uclés, del* ótden de Santiago , i roo Núm. 4.48. Los señores cuestores del cuar tel delí Barquillo , por la demanda semanal j 233#. Núm. 449. D. Pablo Martin Cainpomanes 320.''Núm. 450. D. H. M., por mano del señor cura de Stá. Crüz de Madrid, i®.rNúin. 451. D. G. Mv M..I®. Núm. 45 2. D. P. V., : en seis onzas de oro, ¡1920. Núm. 453. ;D. J. F. JL dos recibos de intereses de vales Reales importantes 2166 .rs; Nám. 454. D. A.?…</t>
  </si>
  <si>
    <t>Calatayud, Juan</t>
  </si>
  <si>
    <t>Juan Calatayud</t>
  </si>
  <si>
    <t>…ticante de Farmacia de egército á D. Jorge Casadesus, residente en la villa de Sevadell, en el principado de Cataluña, y los ho nores y .uniforme de médico de número de egército á D. Juan Calatayud, mé dico residente en la villa de Lucainena de la Torre, en el reino de Granada; declarando al mismo tiempo le ha sido muy grata á S. M. la cesión que res pectivamente han hecho de la pensión que con arreglo á la circular de 19 de Ju nio de 18-15 debían disfr…</t>
  </si>
  <si>
    <t>Caldera, Juan Teran y</t>
  </si>
  <si>
    <t>Juan Teran y Caldera</t>
  </si>
  <si>
    <t>…llano y Pescio, D. Luis Basols y Marañosa, D. Josef Pezuela y Heres, D. Juan Eiizaide y Royo, ,D. Diego Guerrero y Sedaño, D. Julián Velarde y Santillan, D. Josef Abev11a y Conde, D. Juan Teran y Caldera , D. Juan DFIerve y Paredes, Don Francisco Navas Garro de Ulloa, D. Antonio Solís y González, D. Julián Giraldo y Molina, D. Joaquín Muñoz y Larraiñzár ¿ D; Salvador Hidalgo y Sarria, D. Juan Labastida y Bustamante, D. Vicénfe MazeyLizknn de Cano Manuel, D. C…</t>
  </si>
  <si>
    <t>Calderón, Antonio Duran y</t>
  </si>
  <si>
    <t>Antonio Duran y Calderón</t>
  </si>
  <si>
    <t>…legal forma; con apercibi miento de q^ie pasado¡ dicho término sin m,aceitarles ni emplazarles se procederá á lo que haya Jugar. Los síndicos y acreedores á los bienes del difunto D. Antonio Duran y Calderón, maestro que fue de coches de la Reai casa, tienen junta general el domingo 31 de este mes en la casa fábrica de coches que fue del mismo calle ancha de Avapies; j para que llegue á noticia de todos los interesados que tienen legitimado su derecho, se da este…</t>
  </si>
  <si>
    <t>Calderón, Francisco</t>
  </si>
  <si>
    <t>Francisco Calderón</t>
  </si>
  <si>
    <t>…ndez Villamil. Fueron examinados en aritmética D. Juan Josef Dayovich , D. Angel Urzaiz, D. Bartolomé Martine?, D. Juan Antonio Novo, D. Alejandro Rodríguez , D. Francisco Santos, D. Francisco Calderón y D. Antonio Blanco. E11 geometría elemental el dicho D. Bartolomé Martínez, D. Manuel Barbet, D. Mañuél Díaz,'O. Ramón Pepn , D. Josef Rodríguez Romero y EX Fermín Pedregal. En geometría prác tica el referido Barbet, D. Joaquín y D. Luis Ciavareza, D. Fermín Galceran, D. Floren…</t>
  </si>
  <si>
    <t>Calderón, Josef de Jesús</t>
  </si>
  <si>
    <t>Josef de Jesús Calderón</t>
  </si>
  <si>
    <t>…aliitas de Acámbaro D¿ Agustín González, y con particularidad al porta D. Josef Casado; al sargento de realistas de Valladclia Pablo Palaxfiós, y'álóS paisanos !D. Manuel Herrero, D. Josef de Jesús Calderón, Don «Josef Mari# Novillo y Valentín Malagoñ. . ¿ ,, Dios guarde á V. S. muchos años. Zinapécuaro Agosto 30 de 1818.== Ramón García y Reguera.=Sr. coronel y comandante general D. Matías Már■ - 1 ' 1 ’ -tin y Agüítre ;! - A : : &gt; ' ^ Idtm j de Noviembre. - En…</t>
  </si>
  <si>
    <t>Caldes</t>
  </si>
  <si>
    <t>…rto. En el de 94 ascendió á brigadier, y obtenido el mando del navio o. Rafaél\én".i805 en la escuadra del general Gravina, se halló en el combate del cato de Flnisterre contra el almirante Caldes, en el que no solo ,se distintió, sino que fue herido gravemente. Seguidamente, y promovido a gefe de escuadra, sé le nom bró gobernador é intendente de Cartagena de Indias coi}. Ja subinspeccion de Ja Mueva-Granada, yen aquellas circunstancias tan difíciles…</t>
  </si>
  <si>
    <t>Calleja, Julián</t>
  </si>
  <si>
    <t>Julián Calleja</t>
  </si>
  <si>
    <t>…contribuye el hospital y tres comunidades:; el pretendiente que quiera hacer *u solicitud la‘dirigirá al ayuntamiento hasta S. Juan próximo por el conducto de su presidente el Dr. D. Julián Calleja, alcalde mayor de la misma; en el supuesto de que ha de ser de la obligación del agraciado la asistencias á los partos y las,sangrías. &gt; , &gt; ■ Ensayo político sobre el reino de Nueva-España, sacado del que escribió en fran cés Alejandro de Jíumboldt^comprendi…</t>
  </si>
  <si>
    <t>Callimachi</t>
  </si>
  <si>
    <t>…r. á orillas del rioPbaso, en la Cóichlda, cuyo punto se témia que le ocupasen las tropas rusas. •, ; . : rSe esperéel ndiribramiéntó dé un ntievo hospódar de Moldavia, aunque, el príncipe Callimachi ha hecho varias gestiones para conservar su empleo du rante 7 años. POLONIA. ' Varsovia 5 de Julio. Él gran Duque Constantino ha salido de aquí á revistar los regimientos de las provincias. Todas las tropas^ de nuestra guarnición se hallan en el campamento dé…</t>
  </si>
  <si>
    <t>Callimachi, Carlos</t>
  </si>
  <si>
    <t>Carlos Callimachi</t>
  </si>
  <si>
    <t>…ndro Suzzo representa 6o años de edad; tiene ún conti nente grave, y es hombre de buen talento. Su conducta presenta el modelo de un buen padre de familias: su esposa, hermana del príncipe Carlos Callimachi, hospodar actual de Moldavia, es muy piadosa, y rio se ocupa mas que en la educación de su numerosa familia. RUSIA. Fetersburgo 22 de Enero, En el año de 1817 nacieron en esta capital 4208 varones y 4095 hem bras, en cuyo número se comprenden 1095 niños de ca…</t>
  </si>
  <si>
    <t>Calvete, Juan Meneses y</t>
  </si>
  <si>
    <t>Juan Meneses y Calvete</t>
  </si>
  <si>
    <t>…utia, agente fiscal segundode la junta suprema patrimonial de Ape laciones, con antigüedad. De la de Granada. A D. Benito Saenz González, asesor del Real sitio* de S. Ildefonso, y D. Juan Meneses y Calvete, corregidor de Soria.</t>
  </si>
  <si>
    <t>Calvez, Aniceto</t>
  </si>
  <si>
    <t>Aniceto Calvez</t>
  </si>
  <si>
    <t>…alleros cadetes del Real cuerpp de artillería D. Juan ,de los Reyes , D., Juan Pimentel, Dv Agustín .Valeray Miaña, D Genaro Nove-lla,y Rppbiera, D. Francisco Orlando,y Fernandez, D. Aniceto Calvez, de Pedro, D.¡Juan Lacemba y Víale, Don Santiago Posadillo y Chavarri, D Rafael Sentistillano y Pescio, D. Luis Basols y Marañosa, D. Josef Pezuela y Heres, D. Juan Eiizaide y Royo, ,D. Diego Guerrero y Sedaño, D. Julián Velarde y Santillan, D. Josef Abev11a…</t>
  </si>
  <si>
    <t>Calvillo, Juan</t>
  </si>
  <si>
    <t>Juan Calvillo</t>
  </si>
  <si>
    <t>…Tajonar; subtenientes D. Francisco Campo Osorio, D. Santiago Bermejo, D. Juan Benavente y Don Tomas Cepero: del primero Americano capitán D. Joaquín Sánchez Badajoz; subtenientes D. Juan Calvillo y D. Francisco Alvarez: del provincial de Fer nando, vil subteniente D Manuel Cúbelo; y de caballería dragones de Pue bla teniente D. Cayetano Gesarini, y alférez D. josef Frontera. ,,También recomiendo á V. S. muy particularmente a mi ayudante de órdenes el capitán de cazadores de…</t>
  </si>
  <si>
    <t>Calvo, Lázaro</t>
  </si>
  <si>
    <t>Lázaro Calvo</t>
  </si>
  <si>
    <t>49*„ pa^éóé cón! •indfoidúáltdád *el oficial qüé igual clase retirado D. Lázaro Calvo, teniente de cazadores’de San Luís D. Valeriano Oviedo; y'en el !de* idémJ de urbanos infantería-de esta ciu dad D.í Joaquín Rodríguez f quien - prescindiendo de su familia é intereses se puso á la cabeza de"un&gt;-piquete de su cuerpo , que componía mi trozo de…</t>
  </si>
  <si>
    <t>Calvo, Román Lorenzo</t>
  </si>
  <si>
    <t>Román Lorenzo Calvo</t>
  </si>
  <si>
    <t>…s prefija y señala, acudan á deducirle en forma por sí ó por medio de procurador, con poder bastante, ante dicho señor y escribanía de Cámara del mismo supremo Consejo, á cargo de D. Román Lorenzo Calvo; con apercibimiento que transcurrido dicho término sin haberlo verificadp les parará el per juicio que haya lugar. Por providencia del Sr. D. Manuel Josef Rubio, del Consejo de S.M., y teniente de corregidor de esta muy heroica villa, se cita, llama y emplaza…</t>
  </si>
  <si>
    <t>1312</t>
  </si>
  <si>
    <t>…io superficiales , y esta tasada en 38,942 rs. vn.y si alguno quisiere hacer postu ra acudirá á verificarlo á la escribanía de dicho juzgado privilegiado, que se halla i cargo del Sr. D. Román Lorenzo Calvo, escribano de Cámara de dicho supremo Consejo. En virtud de Real facultad se venden las fincas siguientes en esta corte : unas ca sas principales sitas en la plazuela de la'Encarnación, con fachada á la calle de lá Bola, señaladas con el num. 2 de la manz. 40…</t>
  </si>
  <si>
    <t>Camacbo, Domingo</t>
  </si>
  <si>
    <t>Domingo Camacbo</t>
  </si>
  <si>
    <t>1171</t>
  </si>
  <si>
    <t>1171 El Re* ffeestro*Señor ha. tenido £ biei* conceder desde luego el grado de capitán al teniente D. Domingo Camacbo, por «í (mérito particular que ha contraído en esta ocasión. . El Rey nuestro Señor se ha servido nombrar en el territorio de las Orde nes militares á D. Manuel Antonio Fernandez Garrido para la vara de alcalde mayor de la villa de Socuéllamos, y á D. Diego R…</t>
  </si>
  <si>
    <t>Camacho, Domingo</t>
  </si>
  <si>
    <t>Domingo Camacho</t>
  </si>
  <si>
    <t>…arro, que ya llegaba, y les causó mucho daño. Faltaría á, lp. ni¡as sagradorde mi.obligación si no re comendase á V. E- muy particularmente' ab teniente de. la columna del. centro D. Domingo Camacho, que al encuentro de los enemigos se batid pie á tierra á armas iguales con el cabecilla Angulo, y habiéndole dado dos heridas de muerte en la cabezavmel© ha, presen tajdo vivo; lo conservo en mi poder por Si da esperanza de curación enviarlo á A£. E. Al refe…</t>
  </si>
  <si>
    <t>Camacho, Vicente</t>
  </si>
  <si>
    <t>Vicente Camacho</t>
  </si>
  <si>
    <t>…arques del Real Socorro; D. Josef García Carrasco., vecino de Cáceres; el conde de Vallehermoso ,\aícalde del crimen en Lima; D. Juan Gavo, D. Salvador Heraña, D. León Hormaechea, D. Vicente Camacho y D. Ma,imel Alvarez García, oficiales,de la secretaría, de Estado y del Despacho de</t>
  </si>
  <si>
    <t>Cámara, Elas Ametllergrabádpr.de</t>
  </si>
  <si>
    <t>Elas Ametllergrabádpr.de Cámara</t>
  </si>
  <si>
    <t>…o de marca mayor, como se; venera, "en el trascoro de la iglesia catedral de Málaga, dibujada por £&gt;« Cosme Acuña de la célebre escultura egecutada por D. Juan Adan, y grabada por D. Elas Ametllergrabádpr.de Cámara de\S, M. Se ‘hallará en el despacho de la calcografía, de la imprenta Ryal , á_ 40 rs. cada, egemplar-; Por provideilciáÜel ST t&gt;^"Mañuél joléf Rubio,’ del Consejó dé S/XÍ., te bien-" te corregidor de esta muy heroica villa, ante el escribano de su número D.…</t>
  </si>
  <si>
    <t>Camilo</t>
  </si>
  <si>
    <t>…doba de Tucuman, que fue pasado por las armas por los insurgentes de Buenos-Ai res en defensa de la justa causa de S. M. ; y en atención á la fidelidad y padecimien tos de su hijo D. Camilo, teniente de granaderos de Líniers', se ha dignadoS. M. concederle la cruz de caballero de la Real orden Americana de Isabel la Catól ica. Por sejcte*idia de la chancillería de Vailadolid de 22 de Mayo de 1807 está re servado á los hijos , nietos, y biznietos…</t>
  </si>
  <si>
    <t>Camin, Antonio Mandri y</t>
  </si>
  <si>
    <t>Antonio Mandri y Camin</t>
  </si>
  <si>
    <t>…teniente de corregidor de esta muy heroica villa, refrendada de D,. Donato NuñeZy su escribano del número, se ha señalado para la celebración de una junta general de acreedores de D. Antonio Mandri y Camin, vecino y del comercio en esta corte, el día 19.de Setjiembre próximo, á; las nueve en puntó de su mañana, en la posada dé dicho señor juez. Lo que se hace saber á los mismos, para que por sí ó por nciédio de apoderados, áúforizádós competentemente al efecto,…</t>
  </si>
  <si>
    <t>…te corregidor de esta heroica villa, ha acordado, en providencia de 16 del corriente refrendada dé D. Donato Nuñez, escribano de su número, se celebre nueva junta de acreedores de D. Antonio Mandri y Camin, vecino y del comercio de esta corte, el domi- go 28'’ del mismo á las. nueve en. punto de su mañana en la posada de dicho señor. Lo qué se hace saber á los referidos acreedores para su concurrencia; con prevención que de no hacerlo les parará el perjuicio qu…</t>
  </si>
  <si>
    <t>Campbell</t>
  </si>
  <si>
    <t>928</t>
  </si>
  <si>
    <t>…su odio contra Parga. era ya muy inveterado, y no perdonó ardid ni medio para consumar la ruina de aquella ciudad. Aprovechó la ocasión en que sir Tomas Maítland fue á suceder al general Campbell en el empleo de comisario general de S. M. Británica en las islas Jónicas, y valiéndose de todo su influjo,</t>
  </si>
  <si>
    <t>Campo, Benito</t>
  </si>
  <si>
    <t>Benito Campo</t>
  </si>
  <si>
    <t>…D. Domingo Díaz: en la de matemáticas puras medallas acuñadas á pro pósito á D. Santiago Cocolina, y al cadete de artillería D. Pedro OJano: en da de dibujo una .medalla de oro á D. Benito Campo , y otra de plata á Don Francisco Schell* opositores al modelo de yeso: otra medalla de oro á-Dcn</t>
  </si>
  <si>
    <t>Campo, Federico Rodríguez</t>
  </si>
  <si>
    <t>Federico Rodríguez Campo</t>
  </si>
  <si>
    <t>…eana .y D. Miguel Arrimada. En la tercera D. Josef Gutiérrezp. Carlos Santo,- D. Sebastián Romero, D. Antonio Medinilla, D. Juan Meáha y D. Francisco Bragne. En la cuarta y última D. Federico Rodríguez Campo, D. Josef Maurelles, P. Sebastian Ximenez, D. Josef Alvarez, D. Bernardíno Marru^mñ .y D. Luis" Alvarez. ... . Sanhícar d^ Bárrame da 24 de Mayo, En Diciemjbre.del año últiipo" se, celebraron en esta ciudad exámenes pú blicos de primeras letras, bajo la direc…</t>
  </si>
  <si>
    <t>Campo, Josef</t>
  </si>
  <si>
    <t>Josef Campo</t>
  </si>
  <si>
    <t>…Picardo, Vecino de Cádiz ; D. Baltasar de Represé, comisario “de .guerra; D. Josef María Cón¿ de Salazar, regidor de Córdoba; D. Joaquín Gregorio deGoycoa, vecino de S. Sebastian; D. Josef Campo y'Soler, cónsul general y comisario en SierraLeona ; D. Felipe Patdo y García , prebendado en Segovia ; D. Manuel Fidalgo, intendente de Zamora; el conde de Calatrava', gentilhombre de Cámara; Dbn Esteban Asta, gobernador de la sala del Crímen depáceres; D. J…</t>
  </si>
  <si>
    <t>Campo, MañuefRodríguez</t>
  </si>
  <si>
    <t>MañuefRodríguez Campo</t>
  </si>
  <si>
    <t>…de instrucción; D. Manuel Bommatí, D. Jacobo Pa checo, D. Josef Adan, D. Salvador Várela , D. Juan Mateo, D. Antonio Medina y D. Ramón Martínez. En la segunda D* Ignacio Várela , D. MañuefRodríguez Campo , D; Manuel-García, D. Pedro Ochoa, D. Francisco Herrera, D. Joaquín Meana .y D. Miguel Arrimada. En la tercera D. Josef Gutiérrezp. Carlos Santo,- D. Sebastián Romero, D. Antonio Medinilla, D. Juan Meáha y D. Francisco Bragne. En la cuarta y última D. Federi…</t>
  </si>
  <si>
    <t>Campo, Manuel del</t>
  </si>
  <si>
    <t>Manuel del Campo</t>
  </si>
  <si>
    <t>…ante del sacrificio, el diácono y subdiácono los caballeros capellanes-de dicha Real maestranza D. Francisco Chacón Carrillo de Albor noz, sumiller de cortina y oratorio de S. M., D. Manuel del Campo de la Vega i cánónigos de la-metropolitana y patriarcal iglesia, y D. Angel María de Guzman, racionero de la misma. Fue el orador el R. P. Mtro. y Dr. Fr. Josef Govea y Agreda, del orden de S. Agustín. FueTnmehsó el concurso de las personas de la primera gera…</t>
  </si>
  <si>
    <t>Campos, Cayetano</t>
  </si>
  <si>
    <t>Cayetano Campos</t>
  </si>
  <si>
    <t>…e Espolios y Va cantes, consejero honórário de Estado, arcediano de Madrid, y los canónigos D. Gabriel de Hevia y Noriega, decano del Consejo de la suprema -general Inquisición, y D. Cayetano Campos, cura del Real palacio, y ministro ho norario, del misino Consejo , tuvo la honra de felicitar ¿ SS. MM. por su au gusto y dichoso enlace, y besar sus Reales manos. ARTICULO D F. OFICIO. , EJ Rey en consideración al mérito y circunstancias del teniente genera…</t>
  </si>
  <si>
    <t>Campos, Josef Antonio</t>
  </si>
  <si>
    <t>Josef Antonio Campos</t>
  </si>
  <si>
    <t>Por el presente se cita, llama y emplaza í los acreedores que puedan resultar á 1* testamentaría de D. Josef Antonio Campos, para que dentro del preciso término de 6o dias, contados desde la de este aviso, comparezcan á reclamar los créditos que les pertenezcan en la audiencia del Sr. D. Angel Fernandez de los Ríos, primer te niente corregidor de esta muy heroica villa, por la esc…</t>
  </si>
  <si>
    <t>Campos, Josef Gil</t>
  </si>
  <si>
    <t>Josef Gil Campos</t>
  </si>
  <si>
    <t>…Don Josef Vivas de Aragón, canónigo de la catedral de Astorga. Honores de médicos de Cantara. A D. Josef Martínez Gil, y D. Félix Casanova. Honores de cirujanos de Cámara. \ ' ‘ A D. Josef Gil Campos \ y D. Miguel Col!. ^ * V . í . JL ■ . ’ Idem de boticarios de Cámara. A T&gt;. Josef Mignard , jr D. Calixto García. ídem de cirujano de Familia. A D. Ptócido del Valle. . - ■ ; : , ■ .■ . ¡ U. i ■ , - - --i-' ■ V v.r-;. • ./ kota. Las gracias concedidas por. l…</t>
  </si>
  <si>
    <t>Campos, Ñicólás de</t>
  </si>
  <si>
    <t>Ñicólás de Campos</t>
  </si>
  <si>
    <t>1078 Hacienda; D. Joaquín María Fetfrer,r p¡idttíít¿dfpiit¡acfb de Guipúzcoa; Don Josef Villaroel, cura de S.Pelayo; J^^ JosefJMaría Puj^valcalde del Crimen en Zaragoza; D. Ñicólás de Campos, asesor ae"correos en taHavana; D. Jo sef Parada, secretario de ^rrtbajkda; ehD: ^M'atías AgüiiáfV pirésbítero de Tenerife; D. Josef María, Borras, maesj^arit^de Valencia; D. Anto nio Capetillo, administrador dé Correos dé * Valencia; D. Gregorio Joa quín Piq…</t>
  </si>
  <si>
    <t>Campoy, Raimundo</t>
  </si>
  <si>
    <t>Raimundo Campoy</t>
  </si>
  <si>
    <t>…echa 3 de Julio de 1673, reftendaca del escribano de Cámara D. Andrés de Churriaga.' 12. Testimonio de los títulos y papeles de hidalguía, limpieza y nobleza pertenecientes al Dr. D. Raimundo Campoy, abogado de la Real audiencia y chancillería de Valladolid. 13. Proposición sobre el derecho de los diezmos del territorio de la insig ne iglesia colegial de Santa María la Mayor de Olivares, consultada con las universidades de Salamanca, Alcalá y Valladolid…</t>
  </si>
  <si>
    <t>Camps</t>
  </si>
  <si>
    <t>…a provincia. Parece que se aguar daba utía concurrencia innumerable de extrangeros en la misma villa de Helsingford. Suponen los noveleros que es de mucha importancia el viage del general Camps á Alemania ; pero Otros sugetos de mejores noticias aseguran que solo va á tratar de ciertos' negocios pecuniarios qué hay pendientes entre esta corte y la de Berlín.</t>
  </si>
  <si>
    <t>Campuzano, Francisco</t>
  </si>
  <si>
    <t>Francisco Campuzano</t>
  </si>
  <si>
    <t>…edores al reconocimiento y a las bendiciones de los pueblos.0 A nombre de la ciudad de Sto. Domingo de la Calzada se presentaron también en Vitoria á S. M. la Reina nuestra Señora D. Francisco Campuzano y el corregidor de dicha ciudad D. Pablo de Arispe;y el primero dijo el discurso siguiente: . Señora: ,,La ciudad de Sto. Domingo de la Calzada tiene el? honor de tributar á V. M. sus mas humildes y rendidos respetos. La afabilidad, talento y demas dotes que…</t>
  </si>
  <si>
    <t>Campuzíino, Joaquín Francisco</t>
  </si>
  <si>
    <t>Joaquín Francisco Campuzíino</t>
  </si>
  <si>
    <t>…gos, y prelado ¡ comisionado, para este acto, ofició solemnes responso^ En seguida el Excmo. Sr.' marques de S. Martin , acompañado del secretario de éjitregás nombrado por S. :M. D. Joaquín Francisco Campuzíino, su se cretario con egercicio de decretos, y oficial mayor mas antiguo de la* primera Secretnríá dé Estado y del Despacho universal, hizo la entrega de los Reales féretros á la antigua y noble guardia de los monteros de Espinosa y sus indi-* yiduos D: Pedro M…</t>
  </si>
  <si>
    <t>Cañada, Josef</t>
  </si>
  <si>
    <t>Josef Cañada</t>
  </si>
  <si>
    <t>…á T&gt;. francisco Herrador, D. Redro •Pascual Anguita, D. Antonio Martinezj í). Antohio dé Toares, D. Antonio Castillo , D. Martin deTJbéda, D. Rafael de Almagró, D¿ Ramón de Óríiz, D. Josef Cañada, D. Sacerdote Aguilar, D. Agustín de Ortega, D. Pedro Panas y Di Josef Guerrero por'la instrucción y adelantamientos de cada uno de ¿estos alumnos en la parte que profesan ,'y énseñañká que reciben- de sus maestros el presbítero D: Joser Garcíá Llará ,''íhdlv…</t>
  </si>
  <si>
    <t>Cancéy</t>
  </si>
  <si>
    <t>352</t>
  </si>
  <si>
    <t>…es, en que estuvo de agrega do , adquirió preciosos y útiles conocimientos. Cesa Mr .. Eischer én la dirección de la academia dé las nobles artes, y jse— gún parece le sucedétá él profesor Cancéy. Su cuadro del Juicio de Salomón fue objeto de muchas Críticas cuando estuvo expuesto á la vista del público; Los Anales literarios de Viena se publican bajo la protección del prín cipe de Metternich, el cual ha exceptuado á los autores de toda especie de cen…</t>
  </si>
  <si>
    <t>Canela, Ramona</t>
  </si>
  <si>
    <t>Ramona Canela</t>
  </si>
  <si>
    <t>…ela del barrio del Amor de Dios, . ídem * qn ¡el íde;S&gt;¡Tstclrb áDoñd Isabel del Valle, maestra deda Rea) escuela de) barrio dp Ja^Gómadre ^jdenfo en el cuartel de S. Francisco, á Doña Ramona Canela , maestra dé la Reales--* . • ' cuela del barrio, de S. Franqueo, ídem. ■ - •* ^ ^ü v . Tanto ájestas. 10 maestras , como: á tes. $.2 restantes 9¡ y á laideda Réal fá« bricji de cintas del.barrió;dejla Trinidad ,isse; difóiCada^matun; btienrpañbeld de seda pa…</t>
  </si>
  <si>
    <t>Cañet, Josef Antonio</t>
  </si>
  <si>
    <t>Josef Antonio Cañet</t>
  </si>
  <si>
    <t>…tiempo seguras reglas con que pueda el homfcure conservar su salud, y lograr úna vida larga. Obra en su clase original y del mayor integres á toda especie d- per* sonas: su autor D. Josef Antonio Cañet, médico de la ciudad de Tarragona &amp;c. Véndese en la librería de Ibarra, calle de la Gcrguera, á 6 rs. Nota. En la gaceta,extraordinaria del 24 de este mes , pág. 1072 , lín. 13, donde dice de esta capital t l^ase. de vuestra capital. EN LA IMPRENTA REAL.</t>
  </si>
  <si>
    <t>Canino</t>
  </si>
  <si>
    <t>Gaceta de Madrid n.º 104</t>
  </si>
  <si>
    <t>…r vm:, Se ñora mucho movimiento entre los ministros extrangerós que se han re unido en Carlsbad, donde también se hallan de pocos diasí á ésta parte la con desa de Posse, hija del príncipe Canino (Luciano Bonaparte), y Mr. Baceiochi con su muger Elisa. El duque de Monforte está cq Franzensbrura, y el ’ ; ¿ conde Luis de Saint Leu en;;MánéBbad. -^; : ^‘</t>
  </si>
  <si>
    <t>Cano</t>
  </si>
  <si>
    <t>…lsán en íel tránsito .con la mira deí poder causarme mayores daóos^ pero:**ió lo. lograron, pues aprovechando el entusiasmo que tenia la tropa-.nw'tpiise/alIfHentey previniendo al teniente Cano batiese desde una loma;qáe se hallaba inmediata á los rebel4és ? imlcKtrastiyffaepiarlmf trozo) bajaba allarroyolpnija' flanqüéab ekcostsídfo iz quierdo;, .qnekra' elíqúei á ia vista presen tafea iinends obs^tcnlós^e^ oéjtísegúí: vencerlos i ¡todos: desaloján…</t>
  </si>
  <si>
    <t>Cano, Basilio</t>
  </si>
  <si>
    <t>Basilio Cano</t>
  </si>
  <si>
    <t>…ulata. Luégoiqqe me^vistaron jttatawiwi;"dé^Drigaalse&gt;jeiiselfm©nte mmediato faca évi4r;su ¡destrucción ; ,1o querkisto pómhíá dispuse que, él; teniente :de caallería de Jalacingo D. Basilio Cano: con'3Jfíii^ankeSitcmiasejlaciisqmei!da:&lt;¡le ellos, mientras yo fon 40 de la misma\irma tomaba la derecha, dejando al espitan Di Manuel Bello*con igual hÍjfffertraiTfr^té,ífyrór3ent de:défender las mnnkiones y resito de víveres, avanzando -segundo peimnksenbi…</t>
  </si>
  <si>
    <t>…capitán D. Manuel Bello, quien con el mayor orden y serenidad sobre su marcha batió á los rebeldes que se le opusieron en el primer^encuen tro* En igual caso se halla el intrépido teniente D. Basilio Cano, qiie no cesó en todo el dia de. trabajar, arrojándose sobre el enemigo, y en especial eivív.o fuego que con su trozo sostuvo mientras yo me apoderaba del citado Arroyo Blanco con el mío, animando, á los soldados con todo vigor. Asimismo son dignos de la cons…</t>
  </si>
  <si>
    <t>Cano, Juana del</t>
  </si>
  <si>
    <t>Juana del Cano</t>
  </si>
  <si>
    <t>…ero: Dona Antonia Rodríguez, discípula y pasanta de la Real escuela del barrio de la Trinidad: Doña"Ménica Da 1 vega, discípula y pasanta dé la Real escuela del barrio de S. Luis: Doña Juana del Cano\ discípula de ^ Real escuela del barrio dé S. Pascual: Doña María Perore, discípula de la RééL escuela del barrio de Trinitarias f Doña Vieeríta' Ladrón de Guevara,</t>
  </si>
  <si>
    <t>Caño, Pedro Antonio</t>
  </si>
  <si>
    <t>Pedro Antonio Caño</t>
  </si>
  <si>
    <t>…de latinidad por fallecimiento del que la obtenía, y se ha de proveer .en el día i.° del próximo Noviembre. Los pretendientes dirigirán sus memoriales hasta él 15 del corriente á D. Pedro Antonio Caño, escribano de ayuntamiento; pues el. agra ciado ha de empezar á explicar precisamente en el dia 15 de dicho Noviembre. Su dotación consiste en 400 ducados anuales, pagados por la ciudad en tres plazos igua* Jes , y pudtendo contar con 5*0 ó mas estudiantes, q…</t>
  </si>
  <si>
    <t>Cantera, Josef Antonio</t>
  </si>
  <si>
    <t>Josef Antonio Cantera</t>
  </si>
  <si>
    <t>…teresan. Librito de las cuatro pasiones según los cuatro evangelistas, el ordinario dé la misa para el Jueves santo y las siete meditaciones para visitar los siete monumentos» por D. Josef Antonio Cantera ^presbítero» á beneficio dé los que no pueden costear la semana santa grande: un tomo en 8.° Se hallará en la librería de Francés, calle de las Carretas, á 6 rs. en pasta., : • 0 f &gt; Discurso imparcial, ú- demostración de los justos límites á que se extienden…</t>
  </si>
  <si>
    <t>Cantón, Juan</t>
  </si>
  <si>
    <t>Juan Cantón</t>
  </si>
  <si>
    <t>…tre D. Josef Alonso de Guzman, clérigo, presbítero beneficiado en la villa de Poza, y capellán de la que dotó y fundó Magdalena Perez de Arroyueló, viuda de Bernardo de Acdobro, y D. Juan Cantón, para que puedan ser los dos compatronos, y en pos cíe uno y otro los sucesores y poseedores de los vínculos y mayorazgos que fundó el comisario Juan Perez, á lo que está afecta la capellanía; cuya escri tura fue otorgada en la ciudad de Burgos á 2 de Abril d…</t>
  </si>
  <si>
    <t>Capace, Manuel</t>
  </si>
  <si>
    <t>Manuel Capace</t>
  </si>
  <si>
    <t>…ael Rico, D. Celestino Arel lañó, D. Josef Jiménez, Don Juan Pedro Isr.si, D. Miguel Infante, D. Josef Aguirre, D&gt; Alonso Reina; D Josef Garci, D. Ramón Porta, D. Francisco Marín, D. Manuel Capace te , D. Josef Morales , D. Matías Michana, D. Gregorio de Casadevals, Don Miguel Fassia, D. Manuel Gómez, D. Miguel Reina y D. Manuel Rojas. - Valladolidá'S de Julio. • ! , n ;• / La Real sociedad económica de esta capital y provincia celebró ehlj/tardé del 2…</t>
  </si>
  <si>
    <t>Capitán</t>
  </si>
  <si>
    <t>…e di cho obispado poseía D. Patricio López de Osaba, músico tenor de ella, ei cual fue sacado para el servicio de las armas en fin de Setiembre de 1808 al mando del Ex celentísimo señor Capitán general D. Gregorio de la Cuesta, sin que á pesar del lar go espacio de tiempo que ha mediado, y de las muchas y exquisitas diligencias que se han practicado asi por el limo. Cabildo de la referida santa iglesia, como por Don Basilio López de Osaba, padre de…</t>
  </si>
  <si>
    <t>Caprera, Josef Morcillo y</t>
  </si>
  <si>
    <t>Josef Morcillo y Caprera</t>
  </si>
  <si>
    <t>…entida muerte de su amada Soberana Doña María Isabel dé Braganza y Borbon hacerexequias fúnebres y&gt;or su alma. Con tan noble y re ligioso objeto el regente de aquella jurisdicción D. Josef Morcillo y Caprera juntó al muy ilustre ayuntamiento , quien éómisionó al presbítero D* Pedro Antonio Martínez :dé Cablera y al regidor D. Migiiel de Arce y Valdés para preparar todo lo nécésárib y conveniente a lá solemne y fúnebre augusta Ce remonia que sé había ácd'fdádo/éñ’…</t>
  </si>
  <si>
    <t>Car</t>
  </si>
  <si>
    <t>…de la academia y de las mismas es cuela*;. En aquel día, tan señalado y honroso paradas artes, concurrieron á las ib de Ja mañana ef Rey nuestro Señor y los Sermos. Sres. Infantes D. Car losd:-D. Francisco de Paula y Doña María Francisca de Asís, que fueron re-f cibkíds por la?'señoras académicas que componen la junta de damas para el gobiernó de estés estudios, y por los señores consiliarios y académicos de ho nor qué fluéron convidados para…</t>
  </si>
  <si>
    <t>Car, Faustino</t>
  </si>
  <si>
    <t>Faustino Car</t>
  </si>
  <si>
    <t>…eza personal, y la medalla de oro á ambos Ochoas. Capitán de milicias de Cumand. D. Josef León Gómez. La nobleza per sonal.'' Capitán de milicias de artillería de&gt; Puerto-Cabello. D. Faustino Car ees. La nobleza personal. / Guerrillas de Camatagua. D. Josef Antonio Ramírez, D. DomingoTason. Confirmados en sus empleos de capitanes, y la nobleza personal»</t>
  </si>
  <si>
    <t>Car, Luisa</t>
  </si>
  <si>
    <t>Luisa Car</t>
  </si>
  <si>
    <t>…ey nuestro Señor, un magnífico baile en celebridad de las faustísimas bodas del Sermo. Sr. Infante de España D. Fran cisco de Paula con la Serma. Sra. Princesa de las Dos Sicilias Doña Luisa Car lota. Aunque la casa del embajador es muy espaciosa, no bastaba sin embargo su buque interior para una función de tan grandioso aparato, que debían hon rar con su augusta presencia el Rey i su Real Esposa, el Duque y la Duquesa de Calabria, y el Príncipe y la…</t>
  </si>
  <si>
    <t>Caraccíolo</t>
  </si>
  <si>
    <t>…o; los cuales irán saliendo sucesivamente silí intermisión, pero pagando los suscriptores un tomo adelantado.zz:En la misma li brería ■,se;hallan'venta? cotí das demás obras' del* marqués Caraccíolo, nuevamente reimpresas-' y; Clementinas, poema en cuatro cantos sobré la corractas’Noches muerte de'Clemente xiv ( Gánganelli), por D. Jorge Bertola, traducidas libremente del italiano al francés por dicho marques Caraceiolo , y de este al castellano por Don…</t>
  </si>
  <si>
    <t>Caradja</t>
  </si>
  <si>
    <t>…, enviada desde Viena por un expreso durante la mansión del Emperador en aquella capital» no ha producido todavía efecto alguno. 1 Las negociaciones del Gabinete ruso en favor del príncipe Caradja, último hospodar de Valaquia, confirman la mala disposición del Gobierno turco en orden á este griego, quien debe tenerse por muy afortunado en haber podido salvar la vida. AUSTRIA. Viena 11 de Abril. La muerte deldesgraciado Kotzebue ha causado aquí una gran…</t>
  </si>
  <si>
    <t>Caradya</t>
  </si>
  <si>
    <t>…estros vinos. Se ha remitido al tribunal superior de Manheim el proceso contra Sand para que pronuncie la sentencia competente. _ ITALIA. . Roma 3 de Noviembre. Aguardamos aquí al príncipe Caradya, ex-hospodar de Valaquia, á lord William Bentinck y'otros varios personages. De un día á otro déb.e llegar á Civitávechia la escuadra anglo-francesa, mandada por los almirantes Jusieü-Lagraverée y Freemantle, que fue á inti mar á las -potencias berberiscas la…</t>
  </si>
  <si>
    <t>Carantoña, Antonio María Montenegro y</t>
  </si>
  <si>
    <t>Antonio María Montenegro y Carantoña</t>
  </si>
  <si>
    <t>…mín de Iriberrí, gober nador de Orihuela; D Hermenegildo de la Fuente y Querejazu, hijo político del conde de S. Xavier; D. Fernando Mesía y Chacón, alférez de la ciudad de Ubeda; D. Antonio María Montenegro y Carantoña, coronel del regi miento provincial de Orense; D. Josef de Cafranga, oficial mayor menos an tiguo de la secretaría del Despacho de Gracia y Justicia, y D. Anastasio Francisco de Arraenteros, brigadier de los Reales egércitos. Mayordomos de Semana. A D. Joaquí…</t>
  </si>
  <si>
    <t>Carazo, Juan de Dios</t>
  </si>
  <si>
    <t>Juan de Dios Carazo</t>
  </si>
  <si>
    <t>…amiro, y la bbr'a DiGcibnarib de Jos profesores .espártales enlas tres nobles artes; otro igual título á D. Mariano Carrasco, y las Cartas fisico matemáticas del *P. Almeida., y á D. Juan de Dios Carazo se le premió con una medalla dé oropesode fnédiá ónzapof los dibujos -que presentó; á los dos primeros sé . Ies ad judico por haber1 escrito «cada' uno orna mémoria; qué mereció particular aprobación ? un egemplarde lás•Ré^ás¡Vdel:dibujo;dricuer po huxnáno co…</t>
  </si>
  <si>
    <t>Carbonell, Antonio Borras y</t>
  </si>
  <si>
    <t>Antonio Borras y Carbonell</t>
  </si>
  <si>
    <t>…..... 2000 idem............. En Sevilla. 20534.............................. 1000 idem............ En Cádiz. 19293............................. 1000 Ídem............ En Barcelona. D. Antonio Borras y Carbonell, vecino de Mataró, en Cataluña, falleció en lá misma ciudad á principios de Julio de 1810, habiendo manifestado algún tiempo antes tener colocada en parage seguro una cantidad de vales Reales, sin que expre sase el sitio en que Jos puso, ni el sugeto á quien…</t>
  </si>
  <si>
    <t>Cardona, Vicente Tiller Folc de</t>
  </si>
  <si>
    <t>Vicente Tiller Folc de Cardona</t>
  </si>
  <si>
    <t>…Angel Fernandez de los Ríos, del Consejo de S. M., teniente primero de corregidor de esta muy heroica villa., se cita, llama y emplaza á los acreedores á los bienes dimitidos por D. Vicente Tiller Folc de Cardona y su muger Doña Joaquina Paredes, en 13 de Noviembre de 1798, para qué en el pre ciso término de 30 dias, contados desde 27 de Mayo, comparezcan ante dicho señor y escribanía de D. Juan Antonio de Urraza por sí ó por medio de procurador ,, con poder bastante,…</t>
  </si>
  <si>
    <t>Carhmpton</t>
  </si>
  <si>
    <t>…s.- Esta costumbre, dijo, es sin duda muy antigua y res petable; pero en tiempos de apuros como en los que nos hallamos me parece que podría economizarse este gasto. Ridiculizando lord Carhmpton el parecer del preopinante, pidió qué se diera cuenta del tabaco cóñ que tal vez irían llenas las referidas cajas (risa general)*. A esto' abrió Mr. Hutchinson su caja, tomó un polvo, y se sentó, retirando su propuesta. ~ :■ Escriben de Nueva-Yorck, con fecha…</t>
  </si>
  <si>
    <t>Cáríos</t>
  </si>
  <si>
    <t>…s 29 y 30 del pasado se celebraron de orden del ¡Ruy nuestro Señor en la iglesia ae S. Francisco el Grande de esta corte soleriinés exequias por el alma de su augusto Padre el Rey D. Cáríos iv de Borbon, en las cua les celebraron de pontifical el obispo de Teruel la misa del Espíritu Santo, el obispo de Zama la de nuestra Señora, y el nuncio de S. S. la de Réquiem. Ofició las misas la música de la Real capilla, y después de la de Réquiem ronunci…</t>
  </si>
  <si>
    <t>Cárlos</t>
  </si>
  <si>
    <t>…l presente hizo su primer viage á Sanlúcar de Barrarneda, y el de regresó á esta ciudad, el segundo barco de vapor de pasage dé la Real compañía de Guadalquivir , nombrado Infante D. Cárlos, alias Ñeptuno. Este nuevo buque se ha construido con mayor perfección que el prime ro que se botó al agua en Mayo de 1817, y de cuyas comodidades ha dis frutado .el público por espacio de 18 meses. La experiencia de año y medio, y lóá iprdgrésos qiíe en este…</t>
  </si>
  <si>
    <t>Carlos</t>
  </si>
  <si>
    <t>…orte, donde se admitirán las que se hicieren siendo arregladas. Dona María Bernarda Romarate, natural de Bilbao y residente en Madrid, de sea saber el paradero de sus dos hermanos D. Carlos^ y D.-Bernardo Antonio Roma rate, naturales de dicha villa de Bilbao, hijos de D. Pedro Romarate y Doña RamonaMendiola Beitia: hace 21 años que salieron para América, y desde entonces no se ha tenido noticia de su paradero: se suplica á la persona que tuviese…</t>
  </si>
  <si>
    <t>…n de la historia general de España del P. Juan de Mariana, ilustrada con notas históricas y críticas, y tablas cronológicas desde los. tiempos mas antiguos hasta la muer ¡4 dehSr. D. Cárlos. ni, por el Dr. D. Josef Sabau y Blanto,* canóniga de laStá. iglesia metropolitana dé Burgos, é individuo de la Real academia de ia Historia, acudirán á recoger el tomo 8.° y pagar el 9.0, que está en prensa, á la librería de Quirós, calle’;&lt;d'e Atocha,: en S…</t>
  </si>
  <si>
    <t>Gaceta de Madrid n.º 33</t>
  </si>
  <si>
    <t>quías; pero £jpm© aconteciese haber enfermada'gravemente el orador á quien estaba encargada la oración fúnebre,y ocurriese en este intermedio ei falleci miento de SS, MM. el Sr. D. Cárlos iv y su Esposa Doña María Luisa , se determinó hacer las tres funciones de honras en~ los diás 18, 19 y 20 del cor riente por el orden del fallecimiento de dichas Personas Reates. Al intento se formó un magnífico y suntuoso túmulo de cuatro cuerpos, adornado.…</t>
  </si>
  <si>
    <t>…en la iglesia de S. Francisco el Grande de esta corte por su augusta Esposa la Reina nuestra Señora Doña María Isabel de Braganza, en los mismos términos que se egecutaron por el Sr. D. Carlos m, su augusto Abuelo, hizo disponer el Excmo. Sr. conde de Miranda, mayordomo mayor de S. M., el túmulo y ornato fúnebre del templo, cuya egecucíon, se encargó al arquitecto mayor de palacio D. Isidro Velazquez1. En el centro de la iglesia se levantaba un sun…</t>
  </si>
  <si>
    <t>…to ctél palo mayor, que está salpicado de metralla, y varios balazos que pasaron el costado. La nuestra consiste en cuatro muertos, á saber: un soldado de marina, otro del Infante D. Carlos, y dos marineros, 20 heridos , y algunos contusos. En el casco hemos tenido varios balazos áflor de agua, toda ia obra muerta desde el portalón de estribor hasta la mura mayor destrozada, y tam bién el coronamento de popa, como asimismo mucha parte de la mani…</t>
  </si>
  <si>
    <t>…dicho 'Ja. orácibqffu|js!5¿e las de Ja Reina nuestra Señora!'el Dr. D. ( Benito Fernandez Navárrete ,.deán de la santa iglesia metropolitana de dicha ciudad; y en las de los Sre^. Don Carlos iv y Doña María Luisa de Borbon el Rmo. P. Fr. Mariano Lanajg, vicario en el convento de Capuchinos de la misma. El Exorno. Sr. capitán general, limo. Sr* arzobispo, los individuos de cuerpos civiles y militares, y en fin un numeroso concurso de todas las cla…</t>
  </si>
  <si>
    <t>…ue en las solemnísimas exequias, celebradas el dia 30 de Marzo en la Real iglesia de S. Francisco el Grande de esta corte á expensas del Rey nues tro Señor por su augusto Padre el Sr. D. Cárlos iv de Borbon, pronunció el Dr. Don Alfonso Ximenezde Cisneros, capellán de Honor, y predicador de S. M. &amp;c. Se ha llará en el despacho de libros de Laborda, calle Mayor, portal de manguiteros, á 4 rs. EN LA IMPRENTA REAL. ~</t>
  </si>
  <si>
    <t>Gaceta de Madrid n.º 51</t>
  </si>
  <si>
    <t>437</t>
  </si>
  <si>
    <t>…l despacho de 12 de Diciembre de 1789. Y últimamente en 1794, atendiendo al particular mé rito y distinguidos servicios del marques de Campo Santo-, tuvo á bien la Reai piedad del Sr. D. Carlos iv nombrarle teniente general de los Reales egérci tos ; asi como por la misma consideración se dignó nuestro aDgusto Monarca el Sr. D. Fernando vil condecorarle, en 10 de Mayo de 1816 con la gran cruzr de la Real y distinguida orden militar deS. Hermenegildo…</t>
  </si>
  <si>
    <t>…oí j • &gt;.. i ir j ,b l Enel diario de está capiíalseb^pobLicádo el' artículo 'siguiente: b i .--.o. „SS. MM. II. visitaron en el palacio Barberini la habitáeidp quefue.dei difunto Sr. D. Cárlos iv de^Borbon ^con, ebfin.de-;ver el gran cuadro que re presenta la muerte de Lucrecia , "pintado en 180y para S. M. C. por D. Josef Médwdbí ’SSíjMM.?se;detuvieron con gustó níaqgoítiémpo delante "dá esta pintura;, celebrando; mucho lahabilidad.det profesar yy…</t>
  </si>
  <si>
    <t>…:... A jas 11 de lia mañana. del dia siguiente se celebraron privadamente las* velaciones en el oratorio de S, M., que asistió á; tan solemne acto con los* Sermos. Sres, Infantes D. Cárlos y su augusta Esposa, los gefes: de palacio y la seryidurnbxe diaria; habiendo celebrado el Eñio. Sr». cardenal arzobispo dé Toledo, primado de las Espaáas,&lt;canciller iñayoc de Castilla , grande de Es-l paña de primera clase» grar| cruz de la Real y distinguid…</t>
  </si>
  <si>
    <t>Gaceta de Madrid n.º 78</t>
  </si>
  <si>
    <t>…mada de S. Antonio, desde donde prin cipia una arboleda que circuye la mayor parte de la muralla con sus canapés y otros adornos, obra debida al gobernador de esta plaza el Excmo. Sr. Don Carlos España. A impulsos también de su zelo se están construyendo en el ce menterio rural una hermosa capilla y un monumento sepulcral á la memoria del general Reding. Ultimamente, se está concluyendo el palacio arzobispal, obra de muy Ljuen gusto. Aunque el comercio cons…</t>
  </si>
  <si>
    <t>…saltó en tierra. Dicen que se volverá á Smirna á seguir sus negocios mercantiles. FRANCIA. París 8 de Julio. Se están traduciendo eq Viena al francés, bajo la inspección del Archi duque Carlos, sus obras sobre la estrategia y sobre sus Campañas de Alema nia; asi tendremos estos escritos apreciados de los inteligentes en toda ía pu reza del original sin los defectos que los desfiguran en la primera traducción. Idem 11. Se ha publicado en Alemania un…</t>
  </si>
  <si>
    <t>…, de los Guardias de la Real Persona, alabarderos, músicas y coches de respeto según ceremonia. El 25 á las diez y media de la mañana se sirvieron S M. y AA. los Se ñores Infantes D. Carlos y D. Francisco pasar á la citada iglesia * donde los recibió la orden formada en capítulo, compuesto de 104 caballeros, quienes tuvieron asimismo la satisfacción de disfrutar la agradable presencia de las Sras. Infantas Doña María Francisca y Doña Luisa Carlota, que se sirv…</t>
  </si>
  <si>
    <t>…ición de la historia general de España del P. Juan de Mariana, ilustrada con notas históricas y críticas, y tablas cronológicas desde los tiem pos mas antiguos hasta la muerte del Sr. D. Cárlos 111, por el Dr. D. Josef Sabau y Blanco, canónigo de la santa iglesia metropolitana de Búrgos, é individuo de la Real academia de la historia, acudirán á recoger el tomo 10 y pagar el r 1, que se dará pron to á luz, á la librería de Quirós, calle de Atocha, y…</t>
  </si>
  <si>
    <t>…ico dar mayor impulso á este joven , leiaumentó su: consignación á 200 ducados al año, y le nombró socio de mérito en clase, de profesor de dibujo. Esta reso lución engendró en el D. Carlos un reconocimiento sin egemplar, y para\prue;ba de él acaba de regalar en 26 de Abril pasado una pintura al oleo de ia ca beza del Bautista degollado, cuyo presente fue tan apreciable á la sociedad, que acordó colocarle en la junta pública general para su sati…</t>
  </si>
  <si>
    <t>…ueva edición de la Historia general de España del P. Ma riana, ilustrada con notas históricas y críticas, y tablas cronológicas desde los tiem pos mas antiguos hasta la muerte del Sr. D. Carlos iirvpor el Dr. D. Josef Sabau y Blanco, canónigo de la sania iglesia metropolitana de Burgos, é individuo de la Real academia de. la Historia .v acudirán á recoger el tomo n y joagar el 12 ¿ que saldrá pronto, á la librería de Quirós, calle de Atocha; en Cádi…</t>
  </si>
  <si>
    <t>…Sr. D. Antonio de Várgas Laguna, su ministro ple nipotenciario cerca de la Santa Sede, se procedió al embarque de los Reales ca dáveres, en el puerto de Ñapóles el de S. M. el Rey D. Carlos iv, y en el de Gaera el de S. M. la Reina Doña María Luisa, á bordo de la fragata sici liana ia Sirena y del mando del capitán de navio D. JOan Bautista Bálsamo; quien en ella los condujo al puerto de Alicante, donde desembarcados en 25, del mes de Agosto pró…</t>
  </si>
  <si>
    <t>ioóo Real sitio del Pardo /p de Octubre* La ReinAmaestra Señora salió esta mañana á las siete de Buitrago en com pañía de los Sermos. Sres. Infantes D. Carlos y su Esposa, y en el camino se les incorporó el Rey nuestro Señor, que habiendo salido á las nueve de Ma drid en coche para este Real sitio, montó ai llegar á él á caballo, y siguió sin detenerse al encuentro de S. M. la Reina, á quien salieron también.á'es p…</t>
  </si>
  <si>
    <t>….” Luego que el Rey nuestro Señor recibid el aviso de que se acercaba su au gusta Esposa, salid á recibirla á media legua de esta capital acompañado de los .Sermos. Sres. Infantes D. Cárlos y D. Francisco de Paula con la comitiva de costumbre, y ademas los dos gentileshombres de Cámara mas antiguos. Si guieron S. M. y AA. ia carrera señalada recibiendo los acostumbrados hono res de la tropa de la guarnición, que estaba formada desde palacio hasta la puerta de Atocha. H…</t>
  </si>
  <si>
    <t>…rdomo mayor, sumiller,agrandes:,; gentileshombre^ del Rey, mayordombs de Semana, gefes y ay udas de ,Gámara y señoras de tocador. El Rey nuestro Señor y los Sermos. Sres. Infantes D. Carlos y D. Francisco se apearon anticipadamente para dar la mano en la escalera á sus augustas Espo sas; y pasando por las salas de Guardias , deCoIúmmis y de Embajadores /'con dujeron á* su cuarto á S. M.la Reina-, retirándose en seguida al suyo el Rey nuestro Señor acompañado d…</t>
  </si>
  <si>
    <t>Gaceta de Madrid n.º 135</t>
  </si>
  <si>
    <t>ii 14 „Por decreto de 21 de Abril del a ñq pasado de 1792 se dignó mi augusto Tío y Padre el Sr. D. Carlos iv, que está en gloria,' autorizar á su muy cara y amada Esposa la Sra. Doña María Luisa para que arreglase los estatuios de la Real orden de Damas Nobles * instituida bajo su augusto nom bre, y nombrase las dama1' que habían de componerla* á fin de que S. M.…</t>
  </si>
  <si>
    <t>…dición de la historia general de España del P. Juan de Mariana, ilustrada con notas históricas y críticas, y tablas cronológicas desde los tiempos mas antiguos hasta la muerte del Sr. D. Carlos nt, por el Dr. D. Josef Sabau y Blanco, canónigo de la santa iglesia metropolitana de Bíírgos, é individuo de la Real academia de la Historia, acudirán á recoger el tomo 12, y pagar el 13 , que se dará pronto, á la librería de Quirós, calle de Atocha, y en Cá…</t>
  </si>
  <si>
    <t>…ademas aquella sala dos retratos del Rey nuestro S.eñor, uno de medio cuerpo al natural y otro mas pequeño dé cuerpo entero, igualmente ue otros compañeros del Sermo. Sr.' Infante D. Carlos y de la Serma. Señora ? nfanta Doña María Francisca, trabajados por D. Francisco Lacoma, pintor honorario de Cámara de S. M., y académico de mérito; y otros dos, uno de la difunta Reina Doña Marj a Isabel de Br aganza, y otro del Sermo. Sr. In fante D. Carlos…</t>
  </si>
  <si>
    <t>…hasta pasar el rió Tronío y entrar en el feinó de Nápoles en primeros dé Abril de 1744; en el campo dé Annarii, donde se unió el. egército napolita no, y. le pasó revista el Sr. 'D. Carlos m, cómo generalísimo y aliado dé S. M. Catól ica Felipe v; en la marcha en cuerpo unido á lá ciudad de Veletri; en el ataque y toma de la baja montaña el día 12 de Junio del mismo año, en que se hicieron 2© prisionerosentre ellos un general, y se to maron al…</t>
  </si>
  <si>
    <t>…Ramón Gayan, teniente de rey de la plaza de Zaragoza: el de la de Monzon al coronel D. Antonio Hernández del Pont, comandante de batallón del regimiento de infantería del Infante D. Carlos: el del castillo de Moqjuich , de la plaza de Gerona, al capitán D. Gabriel Sedó¿ teniente del regimiento de infantería de. Granada: el del castillo de Porto-Pe-* tro, en la isla de Mallorca, á D. Joaquín' López, alférez, del .regimiento de caballería de Espa…</t>
  </si>
  <si>
    <t>…as solemnes exequias celebradas de orden de la fidelísi ma ciudad de Borja ;en la iglesia,, del convento .de S. Francisco el día 29 de -Marzo de í B ig ep sufragio de losfReyés el Sr. D. Carlos iv y Doña María Luisa de Borbon, dijo el P. Fr. Pascual Gonzalvo, lector de filosofía en dicho convento. Se ha llara en la librería de Escribano,.calle de las Carretas, á 2 rs., y en Zaragoza en la de Gon?alvo. ■wr f EN LA IMPRENTA REAL.</t>
  </si>
  <si>
    <t>Carlota, Luisa</t>
  </si>
  <si>
    <t>Luisa Carlota</t>
  </si>
  <si>
    <t>…teniénte corohei y comandante D. Josef Joaquín de Herrera.” Barcelona r&lt;T de Mayo. Anoche se dignó honrar el teatro de esta ciudad con su augusta presencia ía Serma. Sra. Infanta Doña Luisa Carlota, y recibió S. A. en él los respe tuosos obsequios de un lucido y numeroso concurso, habiéndose retirado á palacio luego que se concluyó la función. Hoy ha asistido temprano á mi sa en la tribuna que desde dicho edificio corresponde á Santa María del Mar,, y á…</t>
  </si>
  <si>
    <t>526</t>
  </si>
  <si>
    <t>…s que se han hééhójde muchas de ellas* Se hallará en la librería de Orea, calle de la Montera, á lo rs. en 7_ / ■ . j , ....... ■......... * ;IiétraVó v, de'la Serma. Srá, Infanta Doña Luisa Carlota, dedicado al Sermo. jSet ñor Infante D. Francisco de Paula su esposo. Copiado del originar de miniatura qué han enviado de S. A* y conserva en su poder, y aprobado por la Real Academia de S. Fernando. Se hallará en el almacén de estampas, calle Mayor, frente…</t>
  </si>
  <si>
    <t>…a, y que por sí soló puede proporcionar medios para ocurrir á todas las necesidades públicas y hacer 'la felicidad general del Estado. Barcelona iH de Mayo. La Serma. Sra. Infanta Doña Luisa Carlota continúa sin novedad en su im portante salud. Ayer mañana se ocupo S. A. en escribir á la corte de Nápoles* por haberse trasladado los individuos de la comitiva de aquella nación al na-; vio qué condujo á S. A. para regresar á su país, no habiendo quedado aqu…</t>
  </si>
  <si>
    <t>…ños. Tari ja 7 de Agosto de 1818. = Josef Canterac, =¿Sr. general en gefe del egército Real del Alto Perú D. Josef de la1 •*Serna.0:■; Barcelona 20 de Mayo. La Sérma. Sra. Infanta Doña Luisa Carlota visitó ayer por la mañana la casa &lt;le Caridad de esta ciudad , que por su buen régimen, aseo y beneficen- 1 cía de! slis directores mereció la aprobación de S. A., quien pasó por la tarde á ver una dé las mejores fábricas de la industria de este país, enterán…</t>
  </si>
  <si>
    <t>…pensado igual; favor á las señoras deí pueblo. : ; x k! "V/y-t• ¡Madrid ¿frde Mayo. El 21 de este mes , á las ocho y media de ía mañana, salid de Bareeloriá la Sermá.*Sra. Infanta Doña Luisa Carlota con dirección á esta corte , en con secuencia de lo resuelto por S. A., según se dijo en el artículo anterior. A la llegada de;S. A. á Molins de Rey se hallaba allí el Excmo. Sr, capitán geoefal de aquel principado aguardando para que la Serma.Sra. Infanta ab…</t>
  </si>
  <si>
    <t>…ra eí día anunciado para dar paso á las aguas que. tanib ansiaban ios campos de la izquierda del rio Llobregat. El feliz arribo á *fcste puerto de S. A*. R. la Serma. Sra. Infanta Doña Luisa Carlota suspen dió tan deseado beneficio, pues atentos exclusivamente los habitantes de • Barcelona y dé sus pueblos comarcanos á manifestar la satisfacción - que les ^cabia por tait: afortunado acontecimiento, solo se han empleado en Obsequiar &lt; tea Ib posible á &amp; A…</t>
  </si>
  <si>
    <t>…s hacendados que á sus expensas han Construido aquel canal? de riego, para que les permitiese solicitar del Rey nuestro Señor que este canal tomase el augusto nombre de la Infanta Doña Luisa Carlota. . De esta manera se ha dignado S.'Áv señalar los primeros pasos que ha da do en nuestra península con el sello de sui lustrada beneficencia, y con un tes timonio de su bondad en favor de los industriosos catalanes. i • j , - ■ ' ■ 1 • / »í ’ 1 * r . ‘ i &gt; ,…</t>
  </si>
  <si>
    <t>Gaceta de Madrid n.º 65</t>
  </si>
  <si>
    <t>546</t>
  </si>
  <si>
    <t>…iluminación general, en la cual todos los vecinos se esme raron á. porfía en manifestar la grande satisfacción que'ios animaba^ . • "'{ íl; S1. i ?' ' O La Sef nia.'Sra. Infanta- Doña Luisa Carlota saltó eT;.£? Torios* a las ocho y media de; lá mañana, y llegó á Vinaroz á la una y cuarto de la ta%? de. Al paso por los pueblos del tránsito y á k cñtradaiid# dicha villa recibió S. A. los respetuosos homenages de las justicias y clero, entre las aclamacion…</t>
  </si>
  <si>
    <t>…de Gibraltar, en lastre, y 14 sacos de arroz*, 10 ídem. 28. Corbeta de guerra Linx, patrón capitán Coirsen, holandés, de Mi* lo, 30 idem. Madrid 4 de Junio. Xa Serma. Sra. Infanta Doña Luisa Carlota salió de Valencia en la maña na del 31 del pasado, y llegó á S. Felipe á las dos de la tarde. Asi eo este pueblo como en los del tránsito estaban adornadas las calles por dónde pasó S. A¿, quien recibió los respetuosos homenages de las justicias y demas auto*…</t>
  </si>
  <si>
    <t>…concurso sUMa*nente¡ satisfecho así de la’ aplicación y apro vechamiento de los discípulos',¡ como del zelo é ilustración del maestro. * Madrid 7 dé Junio. JLa Serma. Sra. Infanta Doña Luisa Carlota liego el i.° de este mes á Aímansa , donde se detuvo todo aquel día y el siguiente á causa de la molestia y cansancio ócasionadós J)ór eí calor' que empézaBá .*yáá sentirse.K las cua tro dé la mañana «del, jdtm'3, salió'.Si A. de A%8®sa &gt; X llego, á Chinchill…</t>
  </si>
  <si>
    <t>Gaceta de Madrid n.º 70</t>
  </si>
  <si>
    <t>588</t>
  </si>
  <si>
    <t>…S. muchos años. Quilaquila 7 de Agosto de 1818. — Francisco de Qstria. =Sr. presidente brigadier P. Rafael Maroto.” S. Felipe de Xátiva 3 de Junio. '. » : ! La Serma. Sra. Infanta Doña Luisa Carlota llegó, á esta ciudad el 31 de Mayo ultimo. Una diputación, compuesta del alcalde mayojr y corregidor interino D. Joaquín de la Escalera, de dos regidores, un diputado, el síndi co procurador general, y de dos maceros, salió hasta el punto donde princi pia el…</t>
  </si>
  <si>
    <t>…habia conducido la ciudad, cuyos habitantes ¡han quedado sumamente prendados y contentos de las bondades de la Serení»sima Sra. Infanta. Madrid Ii de Junio. Xa Serma. Sra. Infanta Doña Luisa Carlota, después de haber descansado los días 9 y io en él Real sitio de Aranjuez, y reconocido los amenos jar dines de aquel Real sitio, salió de él hoy á las siete de la mañana, y llegó á las once á esta corte, entrando por la puerta de Atocha en un coche descu bie…</t>
  </si>
  <si>
    <t>…ste mes á las 9 de la noche se celebró en el Real palacio la gran Ceremonia de los desposorios de SS. AA, RR. el Sermo. Sr. Infante Don Francisco de Paula y la Serma, Sra. Infanta Doña Luisa Carlota. Llegada dicha hora, y preparado S. M. para salir al salón del trono, fueron desde el cuarto los dos gentileshombres mas antiguos * con cuatro ma yordomos de semana y dos ugíeres á avisar á la Serma. Sra- Infanta; al mis mo tiempo se colocaron junto al trono…</t>
  </si>
  <si>
    <t>…andría, con trigo y habas, 30 idem. Aranjuez 11 de Junio. El Gobierno del Real sitio de Aranjuez, luego que tuvo aviso del arribo á Barcelona de la Serma. Sra. Princesa de Ñapóles Doña Luisa Carlota, y del tránsito que debía hacer por dicho Reaí sitio, acordó disponer aquellos fes tejos públicos que le parecieron conducentes para el obsequio de su Real Pertona. A este fin hizo construir, y se colocó en las inmediaciones del Real pa lacio y esquina de la…</t>
  </si>
  <si>
    <t>…mestre de éste año, que .contiene: cavatina de la urraca ladrona, del maestro Rossini: grande marcha y po laca para piano-fórté á la feliz llegada á esta corte de S. A. S. la Sra. Doña Luisa Carlota, Infanta de España; y los señores que gusten continuar dicha suscripción adelantarán el importe del tercer trimestre, cuyo primer cuaderno se publicará á fi nes del corriente mes. En los almacenes de música de la calle del Turco y carrera de S. Gerónimo* se h…</t>
  </si>
  <si>
    <t>Caro, Juan</t>
  </si>
  <si>
    <t>Juan Caro</t>
  </si>
  <si>
    <t>…ia i$... ; • • ? ; •' ' ■" .'*• ' - , i ' i " &gt; ‘ ' ■ ’ ■ " ‘ ;;}&gt;E1;¿Rey; nuestroSeñor. Se ha dignado conferir el gobierno militar y polír tipo ¡df.la plaza de-Málaga al teniente general D. Juan Caro: el de Bada jó# aj mariscal de campo D. Manuel Herek: el de la ciudadela de Barcelona J áí de igual cias^D.; Pedro de Grimarestí y el del castillo de S. Sebastian deda: plaza de Cádiz; al. teniente, coronel D. Pedro María de Ugarte , primer ayu dante del regi…</t>
  </si>
  <si>
    <t>Caro, Ventura</t>
  </si>
  <si>
    <t>Ventura Caro</t>
  </si>
  <si>
    <t>…encargándole la formación de uu cuerpo de emigrados france ses denominado Legión Real de los Pirineos. Estuvo á las órdenes inmediatas del aenerai en ce fe del egército de Navarra D. Ventura Caro mientras arreglaba el cuerpo arriba referido , y asistió á la gloriosa acción de Castelpiñon , contribuyendo ai éxito feliz de tan brillante entrada de campaña. Se halló en el ataque de los puntos avanzados franceses á la margen derecha del Vidasoa, y especia…</t>
  </si>
  <si>
    <t>Carraledo, Francisco</t>
  </si>
  <si>
    <t>Francisco Carraledo</t>
  </si>
  <si>
    <t>…omo se servirá ver V. E. por el estado que le incluyo; manifestándole que del batallón de la Reina han muerto los tenientes D. Vicente Castro y D. Francisco Ruiz, y el subteniente D. Francisco Carraledo, y unos 86 individuos de tropa; habiendo sido heridos de este cuerpo el capitán comandante accidental D. Juan Delgado, y los subtenientes D. Mi guel Rubio y D. Nicolás Baronesi, y 5 7 soldados. Del cahtotl del Potrero han muerto el capitán llamado Timoteo, 4…</t>
  </si>
  <si>
    <t>Carranza</t>
  </si>
  <si>
    <t>…4.0, no.rz:Voces del Pastor en ¡el retiro, un tomo en 8.°, ii.zrVoces del Pastor en la visita , id. id. á la rústica. Duelo de la.Inquisición con la disertación sobre la causa del señor Carranza, un tomo en 4,0, 15; §in la disertación, 13. = Recreación del alma devota, en verso por-un religioso lego, á 4 r^.~EÍ expresado compendio latinp de una y otra magnitud se vende también, y con*mas equidad, en Barcelona y Valencia. Oscar, hijo jde Oslan, traged…</t>
  </si>
  <si>
    <t>Carranza, Lúeas de</t>
  </si>
  <si>
    <t>Lúeas de Carranza</t>
  </si>
  <si>
    <t>…uña, los jueves de cada semana, se verifique en los domingos* Habiéndose extinguido la compañía dé-sedas de la ciudad de Toledo, y nombrado sus accionistas, con Real aprobación, a D. Lúeas de Carranza pa ta cobrar , custodiar y repartir sus intereses ehtíé’aquel los y demas acreedo res censualistas, desempeñó su encargo hasta su muerte, déspues de lo cual ha solicitado su viuda se |a exonere de él j» en su vista se ha dignado el Rey nuestro Señor accécfer…</t>
  </si>
  <si>
    <t>Carranza, Ramón de</t>
  </si>
  <si>
    <t>Ramón de Carranza</t>
  </si>
  <si>
    <t>1248</t>
  </si>
  <si>
    <t>…eal Casa y Patrimonio, á quien está cometido el cumplimiento de dióha venta, por ante el escribano de Cámara de la junta suprema patrimonial de apelaciones, notario de los reinos, D. Ramón de Carranza; en el supuesto que la subasta ha de ser con la precisa condición de no admitir postura alguna que baje del precio de la tasaá di nero metálico, y á pagarse en esta corte en el todo ó partes, ó cuartos de los nueve en que la dehesa está dividida y parcialment…</t>
  </si>
  <si>
    <t>Carrasco, Josef García</t>
  </si>
  <si>
    <t>Josef García Carrasco</t>
  </si>
  <si>
    <t>…oaquín Perez, ■ canónigo doctoral de la colegial de S. Ildefonso; j,X)..Florencio Alonso Villasante, secretario de la dirección del Crédito pú blico ; el marques del Real Socorro; D. Josef García Carrasco., vecino de Cáceres; el conde de Vallehermoso ,\aícalde del crimen en Lima; D. Juan Gavo, D. Salvador Heraña, D. León Hormaechea, D. Vicente Camacho y D. Ma,imel Alvarez García, oficiales,de la secretaría, de Estado y del Despacho de</t>
  </si>
  <si>
    <t>Carrasco, Mariano</t>
  </si>
  <si>
    <t>Mariano Carrasco</t>
  </si>
  <si>
    <t>…á ésc'úéíadédibujo sedióct rtítúkj’déí-sóéio fáitímno rá D. Júáp Bautista Ramiro, y la bbr'a DiGcibnarib de Jos profesores .espártales enlas tres nobles artes; otro igual título á D. Mariano Carrasco, y las Cartas fisico matemáticas del *P. Almeida., y á D. Juan de Dios Carazo se le premió con una medalla dé oropesode fnédiá ónzapof los dibujos -que presentó; á los dos primeros sé . Ies ad judico por haber1 escrito «cada' uno orna mémoria; qué mereció par…</t>
  </si>
  <si>
    <t>Carrera, Miguel</t>
  </si>
  <si>
    <t>Miguel Carrera</t>
  </si>
  <si>
    <t>…ón 40. Núm. 176. D. Juan Villena 40. Núm. 177. D. S. R. 300. Núm. 178. D. F. R. 30. Núm. 179. D. B. Y. 40. Núm. 180. D. P. F. 60. Núm. 181. Doña MaríaVindel, viu da, 20. Núm. 182. D. Miguel Carrera 20. Núm. 183. D. N., feligrés de San Andrés, 100. Núm. 184. D. N. 4. Núm. 185. Ei Sr. D. Josef Borbujo y Rivas, inquisidor de Toledo, en una letra dirigida por el correo al deposita-rio de.la suscripción, y cobrada por este, 1®. Núm. 186. León Ponce 20. Núm.…</t>
  </si>
  <si>
    <t>Carrero, Diego</t>
  </si>
  <si>
    <t>Diego Carrero</t>
  </si>
  <si>
    <t>Gaceta de Madrid n.º 6</t>
  </si>
  <si>
    <t>…á D. Vicente Simón González de Cosío. Por Real resolución de 31 de Diciembre de! año próximo pasado, á con sulta del. Consejo Supremo de la Guerra, se ha servido S. M. conceder á Don Diego Carrero &gt; natural de la villa de: Villaiba de Alcor, diócesis de Sevilla, «el fuero militar y uso de uniforme de practicante de farmacia ,, en premio de los servicios que ha hecho en las boticas militares de campaña durante la úl■tima guerra;; declarando al mismo' ti…</t>
  </si>
  <si>
    <t>Carretero, Juan</t>
  </si>
  <si>
    <t>Juan Carretero</t>
  </si>
  <si>
    <t>…2©. Núm. 88. D. C. R. 20. Núm. 89. D. Manuel Guerra 200. Núm, 90. D. I. de V. 160. Núm, 91* D N. 80. Núm. 92. D. J. M. 320. Núm. 93. D. M. T. 300. Núm. 94. D. C. R. 2co. Núm". 95. D. Juan Carretero 200. Núm. 96. La Real corpo ración de capellanes de honor 6©. Núm. 97. Agueda Moreno, viuda, 20. Nú mero 98. D. T. S. 40. Núm. 99. D. Y. de M. 120. Núm. 100. D Manuel Piernas 4C0. Núm. 101. D. S. S. T. 1©. Núm. 102. D. Diego Man girón 120. Núm. 103. El Excmo.…</t>
  </si>
  <si>
    <t>Carrillo, Juan</t>
  </si>
  <si>
    <t>Juan Carrillo</t>
  </si>
  <si>
    <t>…nta persona de Doña María de ,1a Portilla Cevalíosy Que— vedo, expedida en el mes de Julio de 16.24 Requisitoria pitra, que den laposes ion á D. Sancho Carrillo, poder-habiente de D. Juan Carrillo y Doña Margarita Carrillo, sus; hermanosen 18 de ¡Diciembre de 1684, = Otro, tes timonió cón sus'' di íigenciás' dé pósesib'h dádá a' tí/Francisco Josef Romero en nombre 3éT"$iv"DJosef.Bmtam^qte, e^ .10. de?Novjeínbre de 1781.== Otro testimonio de un auto proveído en lá ciudad de~Plas…</t>
  </si>
  <si>
    <t>Carrillo, Juan Antonio González</t>
  </si>
  <si>
    <t>Juan Antonio González Carrillo</t>
  </si>
  <si>
    <t>…l de ia Plazar^fwjt'iejsto^jdeík jdeiiiandai^njéL^i^ 10 ,rs.¡yL24jjmís. ,Nújneío-547^IXPedí4 Balse¿íGáldeírony;il¿ parteude im sacerdote^©©.) Núm ero 568. Doña N. B. 40. Núm. 569. D. Juan Antonio González Carrillo iod‘. Núini 57OVÍEI i'JmodSrvFobíspb dé 0riliuélahi$ooT. Num.: 571.Elrcabildo de la cólegiatra*de Pastrana ún váilecomún de íi ?jó pesos..Núm. &gt;ty2¿ D.JiG. 26. Núm. 5 73. El Timo; cabildo de la ReaE iglésiaEcrS. Ildefonso t®. Nühí. 574. •Dóña'M. n20íNum. El R…</t>
  </si>
  <si>
    <t>Carrillo, Sancho</t>
  </si>
  <si>
    <t>Sancho Carrillo</t>
  </si>
  <si>
    <t>…io Bustamante y Cetallos , como pon junta persona de Doña María de ,1a Portilla Cevalíosy Que— vedo, expedida en el mes de Julio de 16.24 Requisitoria pitra, que den laposes ion á D. Sancho Carrillo, poder-habiente de D. Juan Carrillo y Doña Margarita Carrillo, sus; hermanosen 18 de ¡Diciembre de 1684, = Otro, tes timonió cón sus'' di íigenciás' dé pósesib'h dádá a' tí/Francisco Josef Romero en nombre 3éT"$iv"DJosef.Bmtam^qte, e^ .10. de?Novjeínbre de 17…</t>
  </si>
  <si>
    <t>Carrillo, Tomas</t>
  </si>
  <si>
    <t>Tomas Carrillo</t>
  </si>
  <si>
    <t>…Sv Carlos. Xa nobleza personal. '= ■■■ — * Campo -volante del Pao. D. Estéban Prado. Aprobado en su empleo de teniente, y Don personal. . Segundo ayudante de cirugía del egército. D. Tomas Carrillo. La no bleza personal. ■ ; , .! Segundos practicantes de cirugía. ?D. Juan Rodriguezí La nobleza per sonal. D. Francisco Ortega, ídem; y D. p,áinori Rodríguez, ídem. Escuadrones de guias del general 4ue han sido aprobados 'en sus em pleos. Capitanes. Pedro Vi…</t>
  </si>
  <si>
    <t>Carrlcarte, Juan Miguel de</t>
  </si>
  <si>
    <t>Juan Miguel de Carrlcarte</t>
  </si>
  <si>
    <t>.97* „ nio de S.i.Josef, de la congregación de Obregones del hospital General ét esta corte, se vuelveuelve á citar y emplazar á D, Francisco Bermejo y D. Juan Miguel de Carrlcarte, últimos tenedores de dos vales Reales de 150 pesos, creación de .Enero y Setiembre de 1808 , con los números 225,737 y 171,387, para que en él preciso término de 10 dias, contados desde el de su publicación en éste periódico, concur-, ran ante dicho seiior j…</t>
  </si>
  <si>
    <t>CarvajaL, Dámaso</t>
  </si>
  <si>
    <t>Dámaso CarvajaL</t>
  </si>
  <si>
    <t>…diente .que,tiene.sobre los habitantes de este .territorio, y se distinguió tan á mi sa tisfacción que no dejó nada que desear: al capitán de realistas D. Agustín de Hotpasitas, á D. Dámaso CarvajaL,. al bizarro alférez de la compañía de Tepegi del Rio D. Eugenio Torres, al de igual clase D. Andrés Perez , al valiente sargento de la compañía de realistas de Chapa de Mota Josef Angel Guzman, y á los de igual clase Josef Osornio, Mariano del Rio y Manuel C…</t>
  </si>
  <si>
    <t>Carvajal, Tomas González</t>
  </si>
  <si>
    <t>Tomas González Carvajal</t>
  </si>
  <si>
    <t>…evamente al caste llano1 ¿ti verso y prosa conforme al sentido literal y á la doctrina de los Santos dres.con notas sacadas de los mejores intérpretes y algunas disertaciones, por Don Tomas González Carvajal, podrán acudir á recoger la primera-éntrega, y anticipar* él importe de la segunda donde hubieren suscrito, según se previno en gaceta de 8' de Octubre último, en que se anunció ia suscripción. El autor jdeseaba cumplir eaí» menos tiempo su empeñó, y para ell…</t>
  </si>
  <si>
    <t>Cas, Diego del</t>
  </si>
  <si>
    <t>Diego del Cas</t>
  </si>
  <si>
    <t>…é acuerdos y repartimientos dé la villa dé Oreja. 26. Escritura de imposición de censó , otorgada por Francisco de Santia go, vecino de la villa de Medina de Rioseco, en nombre de D. Diego del Cas tillo, señor de Torquemada,vecino'de la villade Vallado lid, que en virtud de poder tomaron a censó 2^0® uirsi sobré liñas casas , sitas en la villa de Medina del, Campo, contiguas á la. parroquial de ellas, propias de Diego de Medina, fecha ante él escribano…</t>
  </si>
  <si>
    <t>Cas, Josef</t>
  </si>
  <si>
    <t>Josef Cas</t>
  </si>
  <si>
    <t>…e lo es también de Lorca \y el orador fue el R. P. Er. Josef Alcaraz, predicador conventual en el Real de S. Diego, extramuros de esta ciudad ; y en el tercero dijo la misa el Dr, D. Josef Cas tro, dignidad de tesorero de. dicha s anta iglesia, y pronunció la oración el R P. Fr. Juan Antonio de S. Josef, lector de teología en este colegio de Carmelitas descalzos: en los tres dias ofició de pontifical las ultimas preces el 'limo. Sr. p. Josef Ximene…</t>
  </si>
  <si>
    <t>Cas, Juan</t>
  </si>
  <si>
    <t>Juan Cas</t>
  </si>
  <si>
    <t>…curador, con poder bastante, ante dicho señor y citada escribanía á responder al traslado que le está comunicado de la demanda puesta por Doña María Francisca de Aguirre, viuda de D. Juan Cas taños, vecina de la ciudad de Santander, por sí y como madre , tutora y curadora de sus hijos menores en razón á la reclamación de 15 vales Reales, los 13 de 300 pesós, creación de Mayo de 1808, y dos de 150 de la de Enero del propio año, que su difunto marid…</t>
  </si>
  <si>
    <t>Cas-, Luis López de</t>
  </si>
  <si>
    <t>Luis López de Cas-</t>
  </si>
  <si>
    <t>…para satisfacción del interesado. Por providencia del Sr. alcalde de corte D. Josef López del Pan, dada en i.° del corriente, y refrendada del escribano de provincia y comisiones D. Luis López de Cas- tro, se cita, llama y emplaza por tercero, ultimo y perentorio término de 15 dias, contados desde su publicación en la gaceta, á D. Francisco Roberto Basterra, sóida: dp que fue del regimiento infantería de la Princesa, sus hijos ó sucesores, para que por sí…</t>
  </si>
  <si>
    <t>Casa-Juana, Roque</t>
  </si>
  <si>
    <t>Roque Casa-Juana</t>
  </si>
  <si>
    <t>…d ^ de Mhr¿o, ‘ :v'; .' ' * ARTICULO; ÍD B 'pFICIO. ' "V 'i Por Real resolución de 28 de Enero último, á consulta del Consejo Su premo de la Guerra, se ha servido S. M. conceder á D. Roque Casa-Juana, practicante primero de cirugía que fue en la última campaña, y residente en Barcelona, el' fuero militar y uso de uniforme de la clase en que sirvió, que le corresponde como comprendido en la Real orden circular de 19 de Junio de 1815 ; declarando al mismo t…</t>
  </si>
  <si>
    <t>Casadesus, Jorge</t>
  </si>
  <si>
    <t>Jorge Casadesus</t>
  </si>
  <si>
    <t>…eva déla Serena, en la provincia de Ext ¿remadura. Y por otras de la misma fecha se ha servido conceder el fuero militar y «so de uniforme de practicante de Farmacia de egército á D. Jorge Casadesus, residente en la villa de Sevadell, en el principado de Cataluña, y los ho nores y .uniforme de médico de número de egército á D. Juan Calatayud, mé dico residente en la villa de Lucainena de la Torre, en el reino de Granada; declarando al mismo tiempo le ha…</t>
  </si>
  <si>
    <t>Casadevals, Gregorio de</t>
  </si>
  <si>
    <t>Gregorio de Casadevals</t>
  </si>
  <si>
    <t>…Pedro Isr.si, D. Miguel Infante, D. Josef Aguirre, D&gt; Alonso Reina; D Josef Garci, D. Ramón Porta, D. Francisco Marín, D. Manuel Capace te , D. Josef Morales , D. Matías Michana, D. Gregorio de Casadevals, Don Miguel Fassia, D. Manuel Gómez, D. Miguel Reina y D. Manuel Rojas. - Valladolidá'S de Julio. • ! , n ;• / La Real sociedad económica de esta capital y provincia celebró ehlj/tardé del 26 del corriente la junta públicay solemne de distribución dé premios…</t>
  </si>
  <si>
    <t>Casado, Francisco Peré y</t>
  </si>
  <si>
    <t>Francisco Peré y Casado</t>
  </si>
  <si>
    <t>…bir á Ja co lección de las 22 medallas en bronce que repíeséntaft1 lá actual familia Real de Francia. Adiciones á los tres tomos del Diccionario geográfico.universal de^Echard por Don Francisco Peré y Casado: tres cuadernos en 4.0 impresos en 179$* Se hallarán á 9 rs# cada cuaderno en papel en el almacén de la imprenta Real. EN LA IMPRENTA REAL.</t>
  </si>
  <si>
    <t>Casado, Josef</t>
  </si>
  <si>
    <t>Josef Casado</t>
  </si>
  <si>
    <t>…án Re guera que la ha mandado, á cuyo zelo y actividad debe esta provincia ven tajas muy considerables , y á los oficiales que menciona en su parte, particu^larmente al portaguión D. Josef Casado &gt; que sé ha distinguido muchas veces por su valor y buena disposición. : ; . ,,Dips guarde á V. E. muchos años. Valladolid Setiembre.2- de 1818=.= Excmo. Sr.=:Matías Martin y \Aguirre. =.Excmo* Sr. virey D. Juan- Ruiz: de Apodaca.” Parte del capitán comandant…</t>
  </si>
  <si>
    <t>…ería de Nueva-EspañaD. To mas IÚañézy qué sin embargó de hallarse enfermo me ha acompañado; al temíenté de fealiitas de Acámbaro D¿ Agustín González, y con particularidad al porta D. Josef Casado; al sargento de realistas de Valladclia Pablo Palaxfiós, y'álóS paisanos !D. Manuel Herrero, D. Josef de Jesús Calderón, Don «Josef Mari# Novillo y Valentín Malagoñ. . ¿ ,, Dios guarde á V. S. muchos años. Zinapécuaro Agosto 30 de 1818.== Ramón García y Regue…</t>
  </si>
  <si>
    <t>Casal, Manuel</t>
  </si>
  <si>
    <t>Manuel Casal</t>
  </si>
  <si>
    <t>…y .declaradas por vacantes en el juicio seguido en aquella subdelegacíon de mostrencos. , Aforismos de Hipócrates, traducidos, ilustrados y puestos en verso castellano por el Dr. D. Manuel Casal, profesor de. medicina en esta corte,, ¿ individuo de su Real colegio, alias D. Lucas.Alemán-, y Aguado: -obra tan xítil a.los jóvenes clínicos y amantes de la medicina, ¿ornó necesaria i los cirujanos romancistas que egercen en poblaciones dóndledaíecen cíe…</t>
  </si>
  <si>
    <t>Casal, Ramón</t>
  </si>
  <si>
    <t>Ramón Casal</t>
  </si>
  <si>
    <t>…X Fermín Pedregal. En geometría prác tica el referido Barbet, D. Joaquín y D. Luis Ciavareza, D. Fermín Galceran, D. Florencio Pereira/D. Manuel Rodrigpez Almeida, D. Vicente Rey, Don Ramón Casal y D. Manuel María Riberos. En trigonometría plana dichos Díaz, Casal, Rodríguez Almeida, Barbet y D. Luis Ciavareza. En trigono metría esférica los mismos Ciavareza, Casal y Rodríguez Almeida. En cosmográfíív los pifados Rey, Casal , Riberos, D. Joaquín y D. Luis Ciavareza. En navegac…</t>
  </si>
  <si>
    <t>Casalins, Josef</t>
  </si>
  <si>
    <t>Josef Casalins</t>
  </si>
  <si>
    <t>…García, vecino del lugar de Celtegos, en la provincia de Lugo. Por otra de&lt;6 dél mismo se ha servido conceder igual gracia á D. Vicente Tomas, vecinoxie la ciudad de Tarragona: á D. Josef Casalins, cirujano de la villa de Valls, en el principado de Cataluña: á D. Mauro del .Prado, re sidente en la ciudad de León: á D. Francisco Romero,, cirujano del mteblo de Castejon de las Armas, en el reino de Aragón; y á D. Bernardo María Belety(, cirujano titular…</t>
  </si>
  <si>
    <t>Casals, Pedro</t>
  </si>
  <si>
    <t>Pedro Casals</t>
  </si>
  <si>
    <t>…entó en un banco un escuadrón de caballería enemiga, al que dispuse fuese cargado por la mía, situando á retaguardia dos compañías del batallón de la Reina, jal mando del valiente capitán D. Pedro Casals, que la sostuvie sen con sus fuegos, formando lo restante de la columna á las inmediaciones de un bosque. Mi determinación produjo el resultado que esperaba; y la in fantería, que con: anticipación aposté, dirigió con tal serenidad y acierto sus fuegos, que o…</t>
  </si>
  <si>
    <t>Casamayor, Juan</t>
  </si>
  <si>
    <t>Juan Casamayor</t>
  </si>
  <si>
    <t>…reunieron en las casas consistoriales (previas las esquelas de convimi) el vicario^'eclesiástico, el beneficiado D. Josef Padilla con el clero , los gefes militares, el brigadier -D. Juan Casamayor, comandante de armas, D¿ Cayetano Lobaton, capitán-de fragata, ayudante de marina idel distrito , la oficialidad que residía en dicha villa destinada á ultramar, las co munidades religiosas, los empleados y Otras personas de distinción y el ayun tamiento, cuy…</t>
  </si>
  <si>
    <t>Casanova, Félix</t>
  </si>
  <si>
    <t>Félix Casanova</t>
  </si>
  <si>
    <t>…r. D. Martin Gil, deán de la santa iglesia de Mechoacan, y Don Josef Vivas de Aragón, canónigo de la catedral de Astorga. Honores de médicos de Cantara. A D. Josef Martínez Gil, y D. Félix Casanova. Honores de cirujanos de Cámara. \ ' ‘ A D. Josef Gil Campos \ y D. Miguel Col!. ^ * V . í . JL ■ . ’ Idem de boticarios de Cámara. A T&gt;. Josef Mignard , jr D. Calixto García. ídem de cirujano de Familia. A D. Ptócido del Valle. . - ■ ; : , ■ .■ . ¡ U. i ■ ,…</t>
  </si>
  <si>
    <t>Casanova, Manuel Francisco</t>
  </si>
  <si>
    <t>Manuel Francisco Casanova</t>
  </si>
  <si>
    <t>…V. E. en mi oficio nú mero 33 del día de ayer, elevo á sus manos, para su debido superior cono cimiento , el adjunto parte original que me ha pasado él teniente coronel gra duado D. Manuel Francisco Casanova , por el que se dignará ver V. E. el re sultado del encuentro que la sección dei mandó de este, compuesta de 100 ca ballos y 115 infantes, con los que la reforcé, tuvo con Ja numerosa gavilla del rebelde Borja, la que este había reunido sin duda para hostiliz…</t>
  </si>
  <si>
    <t>Casas, Josef María de</t>
  </si>
  <si>
    <t>Josef María de Casas</t>
  </si>
  <si>
    <t>…nte de órdenes el capitán de cazadores del provincial de Fernando vil D. Francisco Cortazar, y á mi ayudante de campo el teniente del regimiento de infantería de línea de Zaragoza D. Josef María de Casas. j, Asi como igualmente al capitán de Realistas D. Rafael Pozos, pues se gún antes he expuesto á V. S. me abrió campo para mis ulteriores combinacio nes, y desde que sé halla á mi lado cada momento manifiesta mas deseos de sacrificarse en obsequio de nuestro…</t>
  </si>
  <si>
    <t>Casimiro</t>
  </si>
  <si>
    <t>…ados desde 15 del corriente, comparezca por sí ó por medio de procurador á decir de su derecho en la instancia pendiente ante S. S., y por, la escribanía del níímero del car go de D. Casimiro 'Antonio Gómez , sobre' reintegro á D. Francisco Ximenez de ¡Bagues de cinco vales de 300 pesos que tiene ¿reclamados por extraviados, que si vi niere se la oirá y administrará justicia en lo que la tuviere; y pasado que sea dicho término sin haber comparecid…</t>
  </si>
  <si>
    <t>Casta, Francisco Xavier</t>
  </si>
  <si>
    <t>Francisco Xavier Casta</t>
  </si>
  <si>
    <t>…estados correspondientes al año i8&gt;i 8 , dando, con esto úna muestra de la aprobación que dispensé á la.administración de esta, y del aprecio que le merece su digno presidente él Sr. D. Francisco Xavier Casta* ños y los recomendables vocales de la misma* ; &gt; :r. . ''vo RESUMEN..n ';-ó ‘-r \ -i,... . &gt; „Haber repartido diariamente una sopa de arroz , un guisado de carnero* Otro de legumbresj el pan y vino correspondiente ,, : todo dé buena calidad; con solo el impo…</t>
  </si>
  <si>
    <t>Castañeda, Josef María</t>
  </si>
  <si>
    <t>Josef María Castañeda</t>
  </si>
  <si>
    <t>…vo mientras yo me apoderaba del citado Arroyo Blanco con el mío, animando, á los soldados con todo vigor. Asimismo son dignos de la consideración de vmd. los beneméritos sargentos D. Josef María Castañeda é Ignacio Astudillo, que me acompañaron en todos Ids choques* sobresaliendo siempre como acostumbran. Igual recomendación; exigen de. Rus tida el cabo Mariano Aeevedo con los realistas Francisco Malpica , Ignacio: de k Cruz, Francisco Librero y Martin Morgado…</t>
  </si>
  <si>
    <t>Castañeda, Juan de</t>
  </si>
  <si>
    <t>Juan de Castañeda</t>
  </si>
  <si>
    <t>…ecuencia de haber salido dé S. Antonio de Bejar, capital de la pro.viheia de Tejas, el dia 16 de Setiembre de 818 una expedición de tropas deb Rey. nuestro,Señor á las órdenes del capitán D. Juan de Castañeda, abando naron los extrangeros facciosos, acaudillados por los ex-generales Éallemandi y Rigaut, un fortín que habían construido en las orillas del rio Trinidad, y se retiraron á la isla de Galvéston en corto número, por haberse otros sepa rado antes y present…</t>
  </si>
  <si>
    <t>Castaños, Francisco Xavier</t>
  </si>
  <si>
    <t>Francisco Xavier Castaños</t>
  </si>
  <si>
    <t>Gaceta de Madrid n.º 150</t>
  </si>
  <si>
    <t>1254</t>
  </si>
  <si>
    <t>…nisterio de la Guerra sé ha comunicado al secretario del Consejo supremo de la Guerra la Real orden siguiente: Condescendiendo el Rey nuestro Señor con la Solicitud que dirigió el Sr. D. Francisco Xavier Castaños * capitán general de Cataluña, de Doña Vi centa Frías, viuda de D. Santiago Guzman de Villoría, gobernador que fue de la plaza de Tortosa, y conforme al parecer del Consejo supremo de la Guerra, se ha dignado declarar indemne el honor y conducta de Villoría e…</t>
  </si>
  <si>
    <t>Castaños, Francisco Xavier de</t>
  </si>
  <si>
    <t>Francisco Xavier de Castaños</t>
  </si>
  <si>
    <t>…bido la recompensa del amor que han acreditado Con sus demostraciones á S. A. R.; pues habiendo elevado uña representación !á sus Reales manos por iñédio del fekciiio.Sr. capitán general D. Francisco Xavier de Castaños, ma-'infestando sus ardientes deseos de que $. A.R.' presenciase la entrada de las * aguas que fiad de fertilizar aquélla hermosa campiña, tuvo laipondescendencia ‘ de aéceder benigna á sus icuégos , señalando para ello el día de mañana a su pasó per Molías d…</t>
  </si>
  <si>
    <t>Castéjóit, Francisco</t>
  </si>
  <si>
    <t>Francisco Castéjóit</t>
  </si>
  <si>
    <t>…e entreguen afianzando á satisfaccióh del.prior y ícóhsules -su deVóluéión en ; ios5 términos expresádos en eb articuló 3.°- Actto continuo cómpatecierón pérsóñalmente én la junta D. Francisco Castéjóit, -D.i Jóaqúiní -Ferró, ;D. Juan Béa y D¡ Francisco Campos; y hábiéndósétefe leído uno á uno todos los artículos mencionados, y del mismo modo'lá tari fa de'flétes1, expusieron ser -lo$ mismos que habían convenido con los comi sionados, y estap conformes y cor…</t>
  </si>
  <si>
    <t>Castelló, Juan</t>
  </si>
  <si>
    <t>Juan Castelló</t>
  </si>
  <si>
    <t>…es on zas para los primeros, y de dos para los segundos; en esta forma, colocados * en asientos de distinción fuera del circo de los'señores catedráticos los discí pulos el latino D. Juan Castelló y el romancista D. Josef Martínez, agracia dos con los sobredichos premios, se leyó públicamente la Real orden de 24 de Julio último, por la que el Re y nuestro Señor, en vista de Jas censuras hechas por- el mismo colegio dé los opositores á ellos ,, se dignó…</t>
  </si>
  <si>
    <t>Castiedf</t>
  </si>
  <si>
    <t>…sol"sh- r-«n:D vi h hi.'i :.y -rmn,- r:b a! f’*A ^¿.Aypr.áí las ti$g d;e¡ la mañana llegaren el teniente,coronel Pratt ^caballerizo ? del,¡Duque de tWenterEd^ard^Hali &gt; á, casa de lord Castiedf,{Í^.U#.aI&gt;n¿o^M&gt;Fruacipe resietoapdo.seguran.sin t novedad-.,: .. &gt;--j 0'iq * ;&gt;■ *;• i :• cfm 1; " ^ • «v . .No fue,¿n afort^ád^ en. su p?rtqi;Jp Duquesa;dé plarencé, Ptíncipió á-í</t>
  </si>
  <si>
    <t>Castíereagh</t>
  </si>
  <si>
    <t>…s sabios de esta capital, y aseguran á su autor un lugar distinguido entre el número de los que honran la ciencia de la medicina. El Rey ha recibido hoy á la duquesa de Borbon y á lord Castíereagh, ministro de Negocios extrangeros de Inglaterra, el cual está disponiendo el viage para su patria. • Idem 14. Parece que de un día á otro se publicará una obrita de un diplomático aíeman antiguo sobre las desavenencias de las cortéá de Badén y de Baviera» con…</t>
  </si>
  <si>
    <t>…umentos relativos á las negociaciones sobre él tráfico de negros se manifestarían á su tiempo á ia Cámara. CAMARA 3&gt;E LOS C Ó MURES. Sesión de tí, de Febrero. : * ■ . AI presentar lord Castíereagh los tratados de Aquísgran anunció que nada contenían relativo al tráfico de negros, ni á las .modificaciones que' sucesiva^ mente se habían hecho sobre los pagos de las contribuciones-impüestas á U Francia*, añadió que el próximo jueves propondría un bilí ó p…</t>
  </si>
  <si>
    <t>Castilla, Diego de</t>
  </si>
  <si>
    <t>Diego de Castilla</t>
  </si>
  <si>
    <t>…do de curasy benefictadosde dicha ciudad en el año’ iyf¡y ante Francis co Manuel. 7.0 Un testimonio de la donación que hizo el Rey D. Sancho de Castilla en la ciudad de Palencia á D. Diego de Castilla, secretario de Estado, de las Villas de Herreras de Valdecañas, de la dé 'Villainediana* y de Vfcidesacéi, da do‘judicialmente del que se halla original én la ciudad de Granada en 22 de Abril de 1Ú72» y autorizado por él escribano de numero de dicha ciudad Fr…</t>
  </si>
  <si>
    <t>Castilla, Francisco María Sánchez</t>
  </si>
  <si>
    <t>Francisco María Sánchez Castilla</t>
  </si>
  <si>
    <t>…ía de Granada. HONORES DE ALCALDES DEL CRIMEN DE LAS CHANCILLERIAS Y AUDIENCIAS. De la chancillería de Valíadalid. A D. Josef Tagte Bustamante, asesor del Real sitio de Aran juez; Don Francisco María Sánchez Castilla, corregidor de Aranda de Duero; D. Juan de Orduña y Angel, alcalde mayor del Real sitio de S. Lorenzo, y D. Jo sef de Urrutia, agente fiscal segundode la junta suprema patrimonial de Ape laciones, con antigüedad. De la de Granada. A D. Benito Saenz González,…</t>
  </si>
  <si>
    <t>Castilla, Sancho de</t>
  </si>
  <si>
    <t>Sancho de Castilla</t>
  </si>
  <si>
    <t>cabildo de curasy benefictadosde dicha ciudad en el año’ iyf¡y ante Francis co Manuel. 7.0 Un testimonio de la donación que hizo el Rey D. Sancho de Castilla en la ciudad de Palencia á D. Diego de Castilla, secretario de Estado, de las Villas de Herreras de Valdecañas, de la dé 'Villainediana* y de Vfcidesacéi, da do‘judicialmente del que se halla original én la ciudad de Granada en 22 de Abril de 1Ú72» y autoriza…</t>
  </si>
  <si>
    <t>Castillo, Ángel Díaz del</t>
  </si>
  <si>
    <t>Ángel Díaz del Castillo</t>
  </si>
  <si>
    <t>…de, oidor de la Real audiencia de Manila; D. Jo sef Antonio de Andrade, coronel del regimienta de dragones provincialesde Nueva-Galicia; D. Domingo Estanislao déLüaces, brigadier; D. Ángel Díaz del Castillo, coronel del regimiento de Fernando vn; D. JdseFRuiz, cóifqnel, comandante del batallón ligero dé Navarra; D. Juan Orbegozó, coronel agregado del regimiento fijo de México, y mariscal de campo D. Juan Echeverri. Caballeros. ; , D. Josef Velez, capitán de mili…</t>
  </si>
  <si>
    <t>Castillo, Antonio</t>
  </si>
  <si>
    <t>Antonio Castillo</t>
  </si>
  <si>
    <t>…tribuí t Ibs preinios por el segundo «di rector; y fueron adjudicados en latinidad á T&gt;. francisco Herrador, D. Redro •Pascual Anguita, D. Antonio Martinezj í). Antohio dé Toares, D. Antonio Castillo , D. Martin deTJbéda, D. Rafael de Almagró, D¿ Ramón de Óríiz, D. Josef Cañada, D. Sacerdote Aguilar, D. Agustín de Ortega, D. Pedro Panas y Di Josef Guerrero por'la instrucción y adelantamientos de cada uno de ¿estos alumnos en la parte que profesan ,'y énse…</t>
  </si>
  <si>
    <t>Castillo, Francisco Alvarez y</t>
  </si>
  <si>
    <t>Francisco Alvarez y Castillo</t>
  </si>
  <si>
    <t>…ñor se ha servido promover con fecha de 15 del pa sado á alféreces de fragata de su Real armada á los guardias marinas D. Josef Qbregon y Villarroel, D. Quintín Sojo y Villasanta, D. Francisco Alvarez y Castillo, D. Leandro Báldesano y Aguirre, D. Beltran Riquelme y Novela, D. Carlos Butrón y Pareja y D. Francisco Miranda y Hoyos. Por providencia del Sr. 1&gt;. Manuel' Jósef Rubio, del Consejo de S. M., y te díente- corregidor de esta muy heroica villa', refrendada.dé s…</t>
  </si>
  <si>
    <t>Castillo, Francisco Flores y Dw Josef Ignacio</t>
  </si>
  <si>
    <t>Francisco Flores y Dw Josef Ignacio Castillo</t>
  </si>
  <si>
    <t>…Dv Josef Aguiar; los tenientes de dragones deGuadálupe D. Manuel Romero y D. Manuel Antonio Cacho, y los alféreces de dragones fieles de, Moneada y Guadalupe I&gt;: Ignacio Zorzano, D. Francisco Flores y Dw Josef Ignacio Castillo son los oficiales que fueron con lós pique tes que compusieron la partida, y porque todos se manejaron á mi satisfac ción, los recomiendo á V. S. individualmente. „ También recomiendo á V. S. al teniente D. Antonio Marquezy de: Lo bera, y al alférez de dragon…</t>
  </si>
  <si>
    <t>Castillo, Juan Basilio</t>
  </si>
  <si>
    <t>Juan Basilio Castillo</t>
  </si>
  <si>
    <t>…Marqües. Fue confirmado en su empleo de capítan, y se le concedió el Don personal. D. Manuel Ramírez. Confirmación de capitán; Don personal, y medalla de oro. Escuadrones del Rey. D. Juan Basilio Castillo,naturalde GuardatinaJas. Confirmado de capitán; Don personal, y medalla de oro. Guerrillas de Ortizy Parapára. ' jy. JoseF María Requena, natural de S. Juanee ios Morros. Aprobado de capítan , y el Don personal. Escuadrón de Tiznados. D. Josef Benedicto Brach…</t>
  </si>
  <si>
    <t>CastJereagh</t>
  </si>
  <si>
    <t>…es, y se enviaron á pedir á Sir Tomas Stranfor Raffles algunos buques armados para perseguir á estos malvados. Idem 20. En la sesión que ayer celebró la Cámara de los Comunes hizo lord CastJereagh una propuesta dirigida á solicitar del Parlamento las facultades ne cesarias para distribuir entre los ingleses que tienen reclamaciones pendientes una súma de mas de seis millones de libras esterlinas que la Francia ha paga do á este efecto. El lord manifest…</t>
  </si>
  <si>
    <t>Castjereagh</t>
  </si>
  <si>
    <t>…sido aprobado en el Parlamento de Londres el bilí, relativo á la pro hibición de enganches y armamentos á favor-de los insurgentes de la América española. Demostró, perfectamente lord Castjereagh que esta disposición era una ^consecuencia de los prigeipips de-lar-neutralidad,. citando en apoyo el egemplo de ios Esta dos-Unidos, los, cuales hap adoptado las medidas condu cen tes al mís,mefi n. , ¡ • , • r, ,, .■&gt; 6 En Portsmouth se lia hecho la prueba…</t>
  </si>
  <si>
    <t>Castlercagh</t>
  </si>
  <si>
    <t>326</t>
  </si>
  <si>
    <t>…que se hallan excluid dos lo mismo que los católicos de los altos empleos, civiles y militares^ -j . . ¿ Ide m &lt;T: ■ ■ ■ ■ Anteayer adoptó la Cámara de los Comunes la propuesta de lord Castlercagh, dirigida á nombrar una comisión que se encargase de examinar, el es*«</t>
  </si>
  <si>
    <t>Castlereagh</t>
  </si>
  <si>
    <t>…irá S. M. á Hanau, el 28 á EnJda , el 29 á Eise* nac y el 30 llegará á Weimar. Su hermano el Duque Guillermo de W urtem.berg entró ayer aquL . ^; í : V / c Lord Stuart, hermano de lord Castlereagh, y embajador de laglaterra cerca de la corte de VienI , ha venido hoy de A^uisgránu f ■ ^ frangía, ' . * Parts 3® de Noviembre, El 24 del pasada se hizo con toda solemnidad la apertura del curso nor mal de enseñanza mutHapar^a todosiosvcuerposddiegército, con…</t>
  </si>
  <si>
    <t>…e Diciembre* Ayer á la una del dia llegó á esta capital el duque de Wellington, y hoy ha estado en la secretaría de Negocios extrangeros, donde ha tenido una larga conferencia con lord Castlereagh ; después pasó al departamento de las Colo nias, y estuvo despachando con el conde Bathurst. A las cinco de la. tarde fue á casa del comandante en ,gefe, y luego estuvo en compañía del duque de Yorck hasta el anochecer. -v rL'os misioneros de Madagascar Mrs.…</t>
  </si>
  <si>
    <t>…el reino durante la ausencia del gobernador general conde de Sandels. , G R A N BRETAÑA. ' Londres 12 de Enero. Ayer á las tres de la tarde hubo un consejo de ministros en casa de lord Castlereagh, quien sigue indispuesto: duró aquel hasta mas de las cinco, y, según dicen, fue sobre las disposiciones relativas á la reunión del Parlamento. Han regalado las Princesas de Inglaterra á Madama Backendorf, camarista de la difunta Reina, en recompensa del zelo…</t>
  </si>
  <si>
    <t>…go penal* sin embargo de que sir James Mac-lntosh dijo que propondría una comisioit especial para este efecto. En la sesión de ayer hizo su propuesta sir James, á, Ja que se opuso lord Castlereagh, en atención á que la naturaleza misma del informe en que debía entender la comisión nombrada el día antes la condu ciría al examen del código penal. A pesar de esta oposición fue aprobada la propuesta de sir James por una mayoría de 147 votos contra 128. Es…</t>
  </si>
  <si>
    <t>…do de ocho ó nueve pies de alto, y un&lt; tal HáEricon fue el primerol que: habló diciendo que el pueblo ingles se hallaba oprimido por los sables de la caballería y las bayonetas de lord Castlereagh, y . estimulando al populacho á pedir satisfacción de los agravios que se le hacían, y á usar de la fuerza para defender sus derechos en caso de no conseguí^ aquella. &lt; Después tomo ría palabra Baggoley , lamentándose de la indolencia del pueblo, elogiando! á…</t>
  </si>
  <si>
    <t>…rdo sostuvieron la propuesta de Mr. Peeí; y Mrs. Tierney, Mañning, P. Grane y Heigate impugnaron el plan de la comisión. A las dos de la mañana se levantó la sesión á propuesta de lord Castlereagh. FRANCIA. ^ Parts 28 de Mayó, . Ha erigido el Papa en arzobispado el obispado de Quebec, y ha promo vido á la dignidad de obispos álos dos vicarios generales dé aquella diócesis; de suerte que hay en el diá seis prelados católicos en* las posesiones inglesas…</t>
  </si>
  <si>
    <t>Castléreagh</t>
  </si>
  <si>
    <t>…tiguas de ninfaé, de Báfcahfés y ^e' lás Mñsas ’] héctíós bajo la dirección del mismo Ganova , pa'Pa'el dü^Ué dé Bédfbrd: uría colección despejos y medidas para la secretaría lí¿| lord Castléreagh , donde seéstá trabajando én unéxámen comparativo de ^pesos y hiéd'T’d'dS 'de 'tbdBs lósp'néblos dé Europa; y ení fin una • gran can~íí^ád‘]dé vasos i grúdós y 'otras predib^d'ddéS para-algünios particulares. 1 ^1■“L1 .■ ' i í x (1! H.O-í: i I ** - O ¡’j f&gt; i…</t>
  </si>
  <si>
    <t>…e á su gerarquía. ~ ■ * Mr. Wood presentó con este motivo un bilí para que se; concediese á S. A. R. el permiso que solicitaba: le apoyó Mr. Hume; pero se opusieron Mr. Goenfell y lord Castlereagh, notando que si se accedía á Jos deseos del Duque, no se podría rehusar el mismo permiso á cualquiera particular que juzgase mas conveniente disponer de sus propiedades por medio de una rifa ó lotería, que por una venta ordinaria; y en vista de ello la Cámara…</t>
  </si>
  <si>
    <t>…se ha reunido también el pueblo en juntas; perp no lia habido el menor desorden, Ayer se celebró en el ministerio de Negocios extranjeros un consejo de Gabinete, cqnvocado por el vizconde Castlereagh, al cual asistieron el lor;d canciller, los condes ae Harrowby, Westmorland, Liverpool, Batharst y Mulgrave, el vizconde Sidmouth, y los señores Vansittart, .Canning y Robinson. Duró el consejo desde las 2 hasta- las 4 de la tarde. Según resulta del último nú…</t>
  </si>
  <si>
    <t>…excusando el tránsito por? Jas provincias- holandesas. &lt; ' El conde de Capo de J^ría fu£ presentado el Agosto aí Príncipe Re gente por el conde de Eleven, embajador de Rusia, y el vizconde Castlereagh,: y después ha tenido la honra de ver á S. A. R. en-audiencia particular; ’ Idem g. r . ; \ • Escriben de Glascow que, en aquella ciudad se estaba formando una aso- ¿ dación armada para la conseryacioin de la tijanquilidad' pública. . . miam ■ ■■v.Vv-' ' ' '…</t>
  </si>
  <si>
    <t>…les, que pasa á Londres pata reclamar el pago de una cédula de 24© luises de oro, endosada á su favor por el difunto duque de Brunswick, cuyos testamentarios el conde de Munster y lord Castlereagh se niegan á satisfacerla , porque la cédula está extendida en lengua francesa con designación de la cantidad en moneda extrangera , circuns tancias qu# les han hecho dudar de su autenticidad,? Este asunto se ha ven til»*</t>
  </si>
  <si>
    <t>Castro, Antonio de</t>
  </si>
  <si>
    <t>Antonio de Castro</t>
  </si>
  <si>
    <t>1069</t>
  </si>
  <si>
    <t>…jos, y alcalde mayor de la villa de Morata, se cita, llama y emplaza á cual quiera persona que se considere con derecho al goce de los bienes pertenecientes al vínculo que el Lie. D. Antonio de Castro fundo-por su testamento otorgado en di cha villa, y ante su escribano Miguel Vello Martin en el año de 1739, para que en el término de 30 dias, contados desde la publicación de este aviso, acuda á deducir lo que le corresponda ante su merced y por la escriban…</t>
  </si>
  <si>
    <t>IO JO la inteligencia que de no hacerlo se adjudicarán dichos bienes ál hospital que hay en ella con arreglo á lo que dispuso en su testamento el expresado &gt;D. Antonio de Castro, i i En:virtud de facultad Real se vende una casa sita en esta corte» y sus calles de 5. Juan la Nueva ¿ del Acuerdo y de S. Hermenegildo* señalada con el núm. 8 de la fnanz. 551 con 18414 pies, tasada en 136,275; rs.: otra en las calles de la Cruz del Espíri…</t>
  </si>
  <si>
    <t>Castro, Jacinto Gil de</t>
  </si>
  <si>
    <t>Jacinto Gil de Castro</t>
  </si>
  <si>
    <t>…eales, fiscal de la Real audien cia de Chile; D. Manuel Ovarrio Fernandez , contador que fue del tribunal ¿e Cuentas de Buenos-Aires; D Josef Miguel de Muros, teniente de fragata; D. Jacinto Gil de Castro, teniente coronel; D. Josef Aloy , ídem; D. Ignacio Chacón, teniente de navio; D, Josef María Cucalón , capitán ; D. PedroGonzalez y Vázquez, tesorero administrador de tabacos que fue deCumaná ; Don Josef Martínez, coronel agregado al regimiento de Zaragoza;…</t>
  </si>
  <si>
    <t>Castro, Josef de</t>
  </si>
  <si>
    <t>Josef de Castro</t>
  </si>
  <si>
    <t>…, de edad de 19 años no cumplidos. ESPAÑA. México 14 de Noviembre. Continuación cie los partes de Nueva-Estaña. . ^ . VALLADOLID. Oficio del sargento mayor y comandante accidental D. Josef de Castro. ,,Excmo. Sr.: En 1a noche del 28 del último Octubre tuve noticia por un confidente de que las gavillas de sur y norte de esta ciudad, en número de 150 rebeldes cada una, trataban de atacar al convoy que en la mañana del si guiente debia venir á esta plaza de…</t>
  </si>
  <si>
    <t>Castro, Luis López de</t>
  </si>
  <si>
    <t>Luis López de Castro</t>
  </si>
  <si>
    <t>Gaceta de Madrid n.º 14</t>
  </si>
  <si>
    <t>…l Consejo Real de 30 del pasado, mandado guardar y cumplir por auto del mismo día, dado por el Sr. alcalde de Corte D. Josef López del Pan, y refrendada del escribano de provincia D. Luis López de Castro, se han mandado sacar nuevamente á pública subasta por seis dias maá dos casas unidas, que tie nen comunicación, sitas en esta corte y sus calles de las Huertas y Cantarranas, distin guidas, la primera sin número, y la segunda con el 7 de la manzana 230, y el…</t>
  </si>
  <si>
    <t>…les parará el perjuicio que haya lugar. Por providencia del señor alcalde de corte D. josef López del Pan, dada en este dia , y refrendada del escribano de provincia y comisiones D. Luis López de Castro, se cita , llama y emplaza por segundo término de 20 dias, contados desde su publicación en la gaceta, á todos los acreedores y censualistas que tengan derecho á los bienes con cursados por el difunto D J uan Manteles, vecino que fue de esta muy heroica '-ill…</t>
  </si>
  <si>
    <t>Í6 2 Porprovideticía-delSr, D. Josef López del Pan, del'Consejo de Si. M. ¡ alcalde de Casa y Corte# refrendada de D. Luis López de Castro , escribano de provincia, y para .pago de un acreedor, se ha señalado el dia 18 del corriente para el remate de unas viñas, tierras y tajón de álamos situados en la villa y término de Valdepeñas, que se publicaron en la gaceta de ir y diario de 19 de Diciembr…</t>
  </si>
  <si>
    <t>i9° ésa.y cumplir por auto del rmismo día, dado portel señor alcalde de corte D. Josef López dei Pan, refrendado del escribano de provincia D. Luis López de Castro, se han mandado sacar nuevamente á pública subasta por seis días mas dos casas unidas, que tienen comunicación, sitas en esta corte y sus calles deNCantaranas y de las Huer tas, djstiiaguída la primera con el núm. 7, y la segunda sin él de la manz. 230, y el…</t>
  </si>
  <si>
    <t>229</t>
  </si>
  <si>
    <t>…onsejo Real de 27 del pasado, mandado guardar y cumplir por auto del mismo dia, dado por el señor alcalde de Corte Don Josef López del Pan, y refrendado del escribano de provincia D. Luis López de Castro, se han mandado sacar nuevamente á pública subasta por tres dias mas do» casas unidas, que tienen comunicación, sitas en esta corte y sus calles de Cantara das y de las Huertas, distinguidas la primera con el numero 7, y la segunda sin él,</t>
  </si>
  <si>
    <t>…nte S. S., que admitirá la postura y mejoras que se Hicieren siendo arregladas. Por providencia dél Sr. D. JoSef López del Pan , refrendada del escribano de provincia y comisiones D. Luis López de Castro, se ha mandado citar y emplazar por primer término de 30 dias, contados desde lá publicación de este anuncio, á to das y cualesquier personas que se crean con derecho á los bienes de la testamentaría de Doña María Antonia de las Fuentes, muger que fue de D. C…</t>
  </si>
  <si>
    <t>Gaceta de Madrid n.º 80</t>
  </si>
  <si>
    <t>666</t>
  </si>
  <si>
    <t>…o por providencia del señor, alcalde de corte D. Josef Lopez del Pan , dada en 16 dél mismo , y refrendada del escribano de provincia y comisiones déla Real Casa y Cor te de S. M. Don Luis López de Castro, para pago ;de cierto acreedor, se, ha mandadq sacar á pública subasta por término de 30 días,;condados:desde la publicacioir.de es te anuncio, un quinto de los que comprende la dehesa de Zacátena, situada en el cam po de Calatrava, provincia de la Mancha, ll…</t>
  </si>
  <si>
    <t>…cumplimiento por providencia del señor alcalde de corte D. Jo sef López del Pan, dada en 18 de Mayo siguiente, y refrendada por el escribano de provincia y comisiones de la misma D. Luis López de Castro, para pago de cierto acreedor se han mandado sacar á publica subasta por término de .30 uias, contados desde la publicación de este anuncio, dos quintos de los que comprende la dehesa dé Zacatena, situada en el campo de Calatrava, provincia de la Mancha, llam…</t>
  </si>
  <si>
    <t>…dencia del Sr. fe Josef López del Pan , del Consejo de S. M., alcalde de Casa y Corte, dada en 24 del pasado , y refrendada por el escribano de provin cia y comisiones de la misma D. Luis López de Castro, se ha señalado el dia 5 del' corriente en la audiencia de dicho señor y citada escribanía, alas 11 de su mañana, para'el remate de tres qiantos de la dehesa titulada Zacatena, situada en término de E villa de Daimiel, provincia de fa-Mancha, nominados.Algeei…</t>
  </si>
  <si>
    <t>…Ruesgas, en la sentencia arbitral que ha recaído, para que comparezcan á deducir el que tengan por el juzgado de provincia del Sr. D. Josef Salvador López del Pan, y escribanía de D. Luis López de Castro, donde penden los antecedentes, dentro del preciso término de 30 dias contados desde el en que salga anunciado en este periódico , lo que se hace notorio; previniéndose que pasado sin verificarlo queda sin efecto la fianza de acreedor de mejor derecho que se…</t>
  </si>
  <si>
    <t>…ere. Por providencia del Sr. D. Josef López del-Pan, del Consejo de S. M.* alcalde; decano de su Real casa y corte, refrendada del escribano de provincia y comisiones; dp-la nvsma D. Luis López de Castro, se ha mandado citar, llamar y emplazar por último y perentorio término de 30 días, contados desde en que se publique en gace ta , á todos los que se crean con derecho á los bienes concursados del difunto Don Juan Manteles, vecino que fue de esta villa, para…</t>
  </si>
  <si>
    <t>Castro, Vicente</t>
  </si>
  <si>
    <t>Vicente Castro</t>
  </si>
  <si>
    <t>…Mi pérdida también ha si do de bastante consideración, como se servirá ver V. E. por el estado que le incluyo; manifestándole que del batallón de la Reina han muerto los tenientes D. Vicente Castro y D. Francisco Ruiz, y el subteniente D. Francisco Carraledo, y unos 86 individuos de tropa; habiendo sido heridos de este cuerpo el capitán comandante accidental D. Juan Delgado, y los subtenientes D. Mi guel Rubio y D. Nicolás Baronesi, y 5 7 soldados. Del cahtotl del Potrero…</t>
  </si>
  <si>
    <t>Cástroy, Luis López de</t>
  </si>
  <si>
    <t>Luis López de Cástroy</t>
  </si>
  <si>
    <t>…tados tomos. . &gt; &lt; . jO &lt; : yóT/pro^^eñcS del Sr. ¿&gt;, ‘íosef í-opez del 'tan, def Cdhsejo1 de^^^^Ld^ *3é ijasa y Corte '¡' Wrendada por ¿1 ésfnbátfode provincia y comisiones wusma D. Luis López de Cástroy dada á consecuetfcía'de Reales oVd/neá .y .décreiíos d^.Tos señores del Consejo Real para pago'de cierto crédito, se ha mancado sacar á publi ca subasta pbr •‘término de 30 diás , contados' désde esta publicación, tres'quiiitos dé la dehesa titulada ’de í^acá…</t>
  </si>
  <si>
    <t>Catalina</t>
  </si>
  <si>
    <t>…ice: Un memorial ¡ajustado, saca do de las esculturas que .están debajo de esta cuerda, que justifican las pose siones en que antiguamente consistía el mayorazgo que fundo la Sra. Doña Catalina de rOlalora, á cuya reintegractoji, de las que nó se hablan, están obligadas las que .se hallaren haber dejado Ubres el señor capitán D. Pedro Jacinto M*moz y Otalora. *6. Traslado de la egecutoria que h vHIa de Ltllo tiene ganada á la del Corral de Almaguer…</t>
  </si>
  <si>
    <t>…ada por Juan de Reinoso y Catalina Rodríguez su muger, viuda de primeras nupcias de Matías de San tiago , y por Alonso Perez é Isabel de Santiago su muger , hija de D. Matías y de Doña Catalina., por la cual decidieron las-diferencias-y agravios que su ponían Reinoso y Doña Catalina haber experimentado en la partición que entre esta y Doña Isabel se hizo de los bienes de D Matías, á la que se. ha llan unidas varias escrituras de casas en la calle Ma…</t>
  </si>
  <si>
    <t>Catalina-Artui</t>
  </si>
  <si>
    <t>…Luisa de Morales tiene en esta de .Madrid en la calle de Alcalá. ‘ '7 13. Un testimonio de .patronato del Excmc. -Sr^jnarques de Almonacid,^ -capellanías que mandó fundar Ja Sra. Doña Catalina-Artui de&gt;Alaron , sacado .á pedimento del Fxcmof Sr .marques del mi,nao título, conde de Gasai-Palmji, •en 6 de Mayo de 1610 por Domingo Munilla y Zuazó, escribano Reál. • -14. Título primordial de losf oficios de fiel para las j postiiras de‘ los man tenimientos,…</t>
  </si>
  <si>
    <t>Cathcart</t>
  </si>
  <si>
    <t>…capital de vuelta de Varsovia. Dicen que el Gran Duque Constantino acompañará á S. M. I. hasta Wilna. Ha salido de aquí para Londres, llamado por su Gobierno, el embajador ingles lord Cathcart con toda su familia. La estación sigue muy benigna: ayer señalaba á la sombra el termóme tro de Reaumur 7 grados de calor. Los negocios mercantiles han tomado alguna actividad en la lonja1; per no varían de a(pecto los cambios Ha muerto en esta corte de edad…</t>
  </si>
  <si>
    <t>Cattaneó, Augusto</t>
  </si>
  <si>
    <t>Augusto Cattaneó</t>
  </si>
  <si>
    <t>…o próximo pasado en el puerto de Barcelona, .y parage señalado' por. confín de los reinos de España’y de las Dos Sibiliás , á saber.,; en mediódé una sala del palacio de Barcelona D. Augusto Cattaneó,' príncipe'de1 San Nicandro, grande de España de primera clase, caballero'de Jas:ifisigñts ór-“ denes del Toison de‘Oro y de S. Genaro, gran cruz de la líeal y^distin-— guida órdén española de Carlos .111, consejero, de Estada, y gentilhombre^ de Cámara de S.…</t>
  </si>
  <si>
    <t>Cautelen, Lecputeuíx de</t>
  </si>
  <si>
    <t>Lecputeuíx de Cautelen</t>
  </si>
  <si>
    <t>4</t>
  </si>
  <si>
    <t>…por suerte .otra comisión, formada de los señores-marqiles de Laplacg, vizconde de,Rosambo. y conde Julio ,Polignac }í para reconocer durante la sesión los títulos qug,presentó el conde Lecputeuíx de Cautelen (hijo del Par del mismo nombre,¡que falleció en 18 de Setiembre próximo pasado), pretendiendo heredar la dignidad de Par: y en vista del informe que leyó el marques de L^place á nombre de la, comisión, se declararon válidos los títulos. En segtnda.se pasará a…</t>
  </si>
  <si>
    <t>Cavanilles, Josef</t>
  </si>
  <si>
    <t>Josef Cavanilles</t>
  </si>
  <si>
    <t>…uiz Altillos, juez de la Nunciatura apostólica de la cor te, y arcediano titular y canónigo de la santa iglesia catedral de Salamanca. Plaza efectiva del Consejo Real y Supremo. A D. Josef Cavanilles, decano de la' Sala de alcaldes de casa y corte.' Honores del mismo Consejo. A D. Alejandro Dolarea, ministro del Consejo de las Ordenes; D. Mi guel Antonio Bianes, regente de la chancillaría de Valladolid ; D. Francisco Fernandez del Pino, regente de Ja audi…</t>
  </si>
  <si>
    <t>Cavero, Vicente García</t>
  </si>
  <si>
    <t>Vicente García Cavero</t>
  </si>
  <si>
    <t>…fue de lienzos en esta corte, para que en ellos se- presenten á legitimar Jos que respectivamente Ies corresponda por sí ó per medio de procurador con poderbastante al juzgado del Sr. D. Vicente García Cavero, del Consejo de S. M., su*al calde de Casa y Corte, por la escribanía de provincia y comisiones, de la- misma ele D. Mauricio Justo del Rincón ; bajo apercibimiento que de no hacerlo les parará el perjuicio que haya lugar. Por providencia del Sr. D. Manuel Jo…</t>
  </si>
  <si>
    <t>…,354 rs.; y 27 suertes de olivares en el pago de Jarda estimadas en 204,764 rs., que se mandan enagenar con Real fa cultad , acuda por el juzgado del señor alcalde de Casa y Corte D. Vicente García Cavero, y escribanía de provincia de D. Mauricio Justo del Rincón, ea el término de 30 dias, contados desde 27 del pasado, que se admitirán en el todo de su tasa y pago en metálico. No habiendo tenido efecto la junta de acreedores a los bienes de D. Magín Mari,</t>
  </si>
  <si>
    <t>Cavia, Clemente</t>
  </si>
  <si>
    <t>Clemente Cavia</t>
  </si>
  <si>
    <t>…íirá ríemitido pbr sí mismo á; los pueblos contagiados, 1®. cNúm. '578^ D.N. 20. Núm. 15:79. El Sr. cura de Santiago de Madrid, por limosna recibida de un feligrés, 20. Núm. 580. Don Clemente Cavia, por orden de un eclesiástico, 4®. Num. 481.¿D..N.: 100. Núm. 5 82. El limo, deán y cabildo de la catedral de Teruel 1100. Níímero ^83. D: Vecino de: Valencia, 320 rs'; •: r ¡ • ' .(&gt; v- :’T "'•* Pdr el correó de' 23 ^-Noviémbre sé remitieron aLTlmo^Sr. obis.…</t>
  </si>
  <si>
    <t>Caye, Francisco</t>
  </si>
  <si>
    <t>Francisco Caye</t>
  </si>
  <si>
    <t>…onio dePadua; el de rogativa por la guerra contra los franceses, y el de María Santísima de los Desamparados en ac ción de gracias por el feliz regreso de su capellán mayor el Dr. D. Francisco Caye tano Nogués. Se hallarán en la librería de Francés, calle de las Carretas. Un cuaderno de 12 cabezas sacadas de las obras de Rafael de Urbino, muy úti les para las jóvenes que aprenden el dibujo, grabadas por Doña María del Carmen Saiz, única discípula de la…</t>
  </si>
  <si>
    <t>Cayetano</t>
  </si>
  <si>
    <t>…Francisco García Malo en la ciudad de Gusoix; el del Marmólejo D: Vicente Orti y Criado en la misma villa; el de Alhama Lcñ Diego Rodenas en di^ha' ciudad ; el de Caldas de Oviedo D. Cayetano‘Blanco 'Casariego en la villa de Ayrlés, del principado de Asturias; el de Bussot Don Joaquín Ruiz de Lope en la villa de Albatéra; el de Arnedillo D. Francisco Amatriain en Peñaranda de Duero; el de Bejar D- Josef Rodríguez^ en Tastrapa ; el de Quinto D. Man…</t>
  </si>
  <si>
    <t>t.e por la escribanía-' citada dentro del término de jo días, contados desde el de la publicación. D. Cayetano, D. Andrés,,Doña Ines, Doña Petronila y Doña Manuela Benito solicitan se íes declare^ herederos abintestato de su hermano D. Félix, vecino que fue de esta muy heroica villa; y por providencia del Sr. D. Angel Fernandez de los Ríos, del Consejo de S. M., tenie…</t>
  </si>
  <si>
    <t>Cazcarro, Ramón</t>
  </si>
  <si>
    <t>Ramón Cazcarro</t>
  </si>
  <si>
    <t>…15. Don N. r6o. Núm 416 D. Manuel de Zaldivar 100. Núm. 417. El señor cura de S. Sebastian de Madrid, por limosnas recibidas de sus feligreses, 60. Número 418. D. N. 20. Núm. 419. D. Ramón Cazcarro, de la congregación de San Felipe Ncri de esta corre, 320. Núm. 420. D. M 112 rs. y 8 'mrs. Número 421. D. J. L. L. 100. Núm. 422. D. N. 120. Núm 423. D. Y. L. M. 60. Núm. 424 D. P. A S. 20. Núm. 425. Un criado de servir 10 Núm. 426. D. N, 80. Núm. 427. El se…</t>
  </si>
  <si>
    <t>Cecilio, Josef</t>
  </si>
  <si>
    <t>Josef Cecilio</t>
  </si>
  <si>
    <t>…de Chinchilla. Honores de oidor de Canarias. A D.-Josef Antonio Morales , alcalde mayor de la Laguna , capital dé Tenerife. • Secretarios del R’sir con egereicio de decretos. - A D. Josef Cecilio de la Rosa; D. Agustín Sojo; D. Manuel Riega, y Don Josef Cabeza de Mora , oficiales de la secretaría de Estado y del Despacho dé Gracia y Juncia de España; D. Antonio Martínez Salcedo y D. Sebastian Hurtado. ' Honores de secretarios del Rey* A Frey D. Josef…</t>
  </si>
  <si>
    <t>Cecinarica, Pablo</t>
  </si>
  <si>
    <t>Pablo Cecinarica</t>
  </si>
  <si>
    <t>…S., y hora de las 12' del mismo dia. Método que enseña á jugar á las damas' con espada y broquel, dividido en tres tratados que comprenden, cuantoh'áy que saber én este juego, por D. Pablo Cecinarica • esta dbrá, corire^idá y*aúnáéútádaeii la nueváadición que ahora sé anuncia, se hallará éh lá librería dé Tieso, talle dé las' Carretas.:' - o Si&amp;fefttt fisiéd medicb-pdlíttéo ?de3á $esté, su ¿preservación y curación para uso é instrucción de las diputacione…</t>
  </si>
  <si>
    <t>Cedrón, Vicenta Mendizabal y</t>
  </si>
  <si>
    <t>Vicenta Mendizabal y Cedrón</t>
  </si>
  <si>
    <t>…el 1.° de Agosto, pasado el cual se procederá á su provisión, y los que podrán dirigir las pretendientas á D. Ildefonso de Sienes, secretario del ayuntamiento en ía propia villa. Doña Vicenta Mendizabal y Cedrón, viuda de D. Josef Fórnier, capitán de ca ballería, y últimamente comandante del resguardó de rentas de Extremadura cotí resi dencia en Badajoz, ó sus herederos forzosos, podrán entrar eri correspondencia por el correo de Pontevedra, en Galicia, con D. Josef…</t>
  </si>
  <si>
    <t>Celas, Josef María</t>
  </si>
  <si>
    <t>Josef María Celas</t>
  </si>
  <si>
    <t>…s apoderados, á la secretaría de la Real sociedad3 sita en la calle del Turco, casa que fue al macén de cristales, desde las nueve de- la mañana hasta las dos, en donde es tará el secretario D. Josef María Celas, y Muñoz , antes del dia 28 de Febre ro próximo venidero; debiendo los aspirantes ;pasar á dicho secretario las se ñas de su habitación en Madrid ,, i fin de. que puedan comunicárseles los avi aos correspondientes- ARTICULO DE OFICIO. Ef Rey nuestro Señor se…</t>
  </si>
  <si>
    <t>Centella, Josef Brito</t>
  </si>
  <si>
    <t>Josef Brito Centella</t>
  </si>
  <si>
    <t>…eron batidas y dispersas en algunas ocasiones, mientras con sus desertores se organizó el escuadrón del Apure á; las órdenes del comandante Perera , y un cuerpo volante que for mó D. Josef Brito Centella pasado en aquellos dias del campo enemigo. Asi permaneció el egército dueño de todos los recursos de aquel, acogiendo á las familias que se presentaban, y causándole mucha deserción, hasta que el 27 de Marzo se apareció Bolívar al frente del trapiche de la Ga…</t>
  </si>
  <si>
    <t>Centelles, Juan</t>
  </si>
  <si>
    <t>Juan Centelles</t>
  </si>
  <si>
    <t>…el bailío J. B. Tomassi con el consentimiento del Papa. ,, Después del fallecimiento de este último en 1805 gobierna los restos de la orden como teniente de gran maestre el bailío D. Juan Centelles, á cuyo fin está en relación con el Papa, y resid3|p§i Catauia, ciudad de Sicilia, en una casa_ conventual. _ _ .. ,,E1 Papa y los Reyes de España y de las Dos Sicilias han devuelto á los caballeros de la orden los bienes que no estaban enagenados. „ Una comi…</t>
  </si>
  <si>
    <t>Centurión, Manuel</t>
  </si>
  <si>
    <t>Manuel Centurión</t>
  </si>
  <si>
    <t>…go Ortiz de Urbina 200. Núm. 30. D. R. A. 20. Núm. 31. D. N. 80. Núm. 32. D. Agustín Sanz, maestro sastre, 60. Núm. 33. D. A. V. 100.Nú mero 34. D. Ventura Fernandez loo. Núm. 35. D. Manuel Centurión320. Núm. 36. D. M. H. 1500. Núm. 37. D. A. A. 20. Asimismo se han suscrito para el mismo caritativo objeto los señores si guientes: ! ; Número i.° D. Torcuato Torio de la Riva, durante la epidemia, por 40 rs. al mes-Núm. 2.°. Doña Juana Perez, por idem, por 1…</t>
  </si>
  <si>
    <t>Centurión, Nicolás</t>
  </si>
  <si>
    <t>Nicolás Centurión</t>
  </si>
  <si>
    <t>…ja de los Sermos^ Sres. Duques de Calabria í&gt;* Francisco y Doñá María Isabel de Borbon, y Nieta del muy alto y muy poderoso Sr. D. Fernanda 1, jRey del reino.de las.Dos Sicilia^,. D. Nicolás Centurión y .Vera’, marqués de: la Lapilla y Monesterio, grande de España, caballero de la insigne orden del Toison de Oro , gran cruz de la Real y distinguida orden de Carlos nr i y dela de S. Genaro dé Ñápeles, gentilhombre de Cámara deS. M. con egercicio, mayordomo…</t>
  </si>
  <si>
    <t>Centurión, Octavio</t>
  </si>
  <si>
    <t>Octavio Centurión</t>
  </si>
  <si>
    <t>…ejo original, fecha dada en Toledo á 11 de Julio de 1693. ¿4. Escritura de patronato de la iglesia y convento de S. Francisco, des calzos , de la viila de Madridejos, en favor del Sr. Octavio Centurión, mar ques de Monesterio, que otorgó la provincia y difinidores de S. Josef de la dicha orden en Madrid á 14 de Marzo de 1630 ante Diego Orozco, escri bano del número. 15. Un apeo de las tierras del estado de Rivas, en virtud de provisión de S. M. hecho en el…</t>
  </si>
  <si>
    <t>Cerdá, Bartolomé</t>
  </si>
  <si>
    <t>Bartolomé Cerdá</t>
  </si>
  <si>
    <t>…á D Josef de la.Cruz Olivares: para la ración que se halla va-, cante en la santa iglesia metropolitana de Caracas , por ascenso de D. Justo Buróz. á una canongía de la misma , á D. Bartolomé Cerdá, Asimismo se ha dignado nombrar para la asesoría de la intendencia de, Soaora, vacante por fallecimiento de D. Alonso Fresierra, á D. Pedro Josef-</t>
  </si>
  <si>
    <t>Certucha, Isidro de</t>
  </si>
  <si>
    <t>Isidro de Certucha</t>
  </si>
  <si>
    <t>…rancisco Semprun. Gra-* mática.latina, primero á D. Ladislao Pedro de Ochoa. Idem segundo á Don Antero Tutor. Matemáticas puras, primero á D. Bartolomé de Olaechea. Idem segundo á D. Isidro de Certucha. Idem tercero á D. Juan Bernardo de Uriarte. Segundo año: primero á D. Josef María de Aguirre; segundo á D. Carlos de Espinóla, y segundo idem á D. Juan Poéy. Geografía, primero i D. Juan Poéy. Estos premios consistian en 22 medallas de plata, que Ies fueron…</t>
  </si>
  <si>
    <t>César, Manuel Faustino de</t>
  </si>
  <si>
    <t>Manuel Faustino de César</t>
  </si>
  <si>
    <t>…ladolid en 1a del Dr. D. Luis Me-' j&gt;a; en Astorga en la de D. Gaspar Tardío: én Toledo en la de D. Benito Lizana; en Ciudad Real en la de D. Francisco Morales; en Cuenca en la de D. Manuel Faustino de César; en Badajoz en la del Dr. D. Jaime Brancos; en Plasencia en la de D. JoseCP io López.Samaniego; en Villanueva de la Serena en la de D. Bernardo Bd^tip’enGranada en 'la del Dr. D. Manuel Lope? Mateos; en Málaga en la del T&gt;r. D., Jaime Alibau;.en Vigo en la de…</t>
  </si>
  <si>
    <t>Cesáreo</t>
  </si>
  <si>
    <t>…cedido por S. M. y señores del Real y Súprqmo Consejo, se anuncia ai publico en viftudde orden judicial que dicha obra se vendé y debe Tender única y exclusivamente en la librería D. Cesáreo; Josef Novillo, calle dé la Concepción Gerónima. ; f. ¡- nr . Para cumplir una disposición testamentaria se. venene en la ciudad del Puetto ’de Sta. María una casa principal de tres cuerpos con todas las comodidades necesarias,, Sita eii la calle de Luna, esq…</t>
  </si>
  <si>
    <t>Cetallos, Antonio Bustamante y</t>
  </si>
  <si>
    <t>Antonio Bustamante y Cetallos</t>
  </si>
  <si>
    <t>…mara, á pedimento de D. Francisco de Quevedo y Villegas, sobre elección de oficios ae justicia, = Otro testimonio de' egecútoria y pose sión dada á D. Matias Ovejero. en hombre de D. Antonio Bustamante y Cetallos , como pon junta persona de Doña María de ,1a Portilla Cevalíosy Que— vedo, expedida en el mes de Julio de 16.24 Requisitoria pitra, que den laposes ion á D. Sancho Carrillo, poder-habiente de D. Juan Carrillo y Doña Margarita Carrillo, sus; hermanosen 18 de…</t>
  </si>
  <si>
    <t>Chacón, Fernando Mesía y</t>
  </si>
  <si>
    <t>Fernando Mesía y Chacón</t>
  </si>
  <si>
    <t>…n, entrada. Al Marques del Cerro de la Cabeza; D. Pedro Fermín de Iriberrí, gober nador de Orihuela; D Hermenegildo de la Fuente y Querejazu, hijo político del conde de S. Xavier; D. Fernando Mesía y Chacón, alférez de la ciudad de Ubeda; D. Antonio María Montenegro y Carantoña, coronel del regi miento provincial de Orense; D. Josef de Cafranga, oficial mayor menos an tiguo de la secretaría del Despacho de Gracia y Justicia, y D. Anastasio Francisco de Arraenter…</t>
  </si>
  <si>
    <t>Chacón, Ignacio</t>
  </si>
  <si>
    <t>Ignacio Chacón</t>
  </si>
  <si>
    <t>…sia, predicadores todos de la primera nota del Aragón. % Cádiz % de Marzo. Ha dado fondo hoy en esta bahía la goleta Riquelme, correo de la ar mada, al mando del teniente de navio D. Ignacio Chacón, procedente de Iferacruz y la Havaua, conduciendo la correspondencia de oficio y pública de las Américas. Madrid17 de Marzo. ARTICULO DE OFICIO. Por Real resolución de 25 de Febrero último, á consulta del Consejo su premo de la Guerra, se ha servido S. M. con…</t>
  </si>
  <si>
    <t>…rnandez , contador que fue del tribunal ¿e Cuentas de Buenos-Aires; D Josef Miguel de Muros, teniente de fragata; D. Jacinto Gil de Castro, teniente coronel; D. Josef Aloy , ídem; D. Ignacio Chacón, teniente de navio; D, Josef María Cucalón , capitán ; D. PedroGonzalez y Vázquez, tesorero administrador de tabacos que fue deCumaná ; Don Josef Martínez, coronel agregado al regimiento de Zaragoza; D.Pedro Perez S. Julián , comandante del primer batallón de…</t>
  </si>
  <si>
    <t>Chacón, Juan</t>
  </si>
  <si>
    <t>Juan Chacón</t>
  </si>
  <si>
    <t>…e Mayo d¡¿ este a¡ño por la M. N. y M. I. ciudad de Avila y su. tierra por eLalma de nues tra, augusta Señora (que santa gloría Jiaya) la Madre ¿Dona María Luisa de Y Borbonj dijo D. Juan Chacón,canónigo delasanta iglesia apostólica de la misma, y predicador de S. M. Sale á luz*á expensas de «dicha ciudad y su tierra. Se hallará av.3 rs^ en las librerías de Dávüa, calle de las Carletas, de Amposta, calle del Prín-1 cjpe, j de Novillo, calle de &amp; Conc…</t>
  </si>
  <si>
    <t>Chao, Joseí María</t>
  </si>
  <si>
    <t>Joseí María Chao</t>
  </si>
  <si>
    <t>…o en la última campaña: y por igual causa el fuero militar y ufo ce uni forme de practicante'de farmacia de egército á D. I&lt; amen Babailé , residente en la v.iita- de -Cardona:' á D. Joseí María Chao, en la de Pontevedra: á Don Josef Montada, en la ciudad de Barcelona: á D. Juan Ferrcr y Giialt, en la villa de Y illafranca del Panadés, y á D.. Gregorio C orrea , en la de Villafrechos provincia de Valladolid ; declarando al mismo tiempo le ha sido muy grat…</t>
  </si>
  <si>
    <t>Chapral</t>
  </si>
  <si>
    <t>…enjamín Delassert, miembro de la Cámara de los Diputados; marques de Marbois, Par de Francia; marques de Áligre; Idem ; marques de Catelan, ídem; vizconde de, Moritmórenci-, ídem; conde Chapral; Idem ; barón Pasquier, ministro de Estadqymiembro de la. Cámaré de los Diputados; conde Dará, Par de Francia; tofideMbliieh ;idcm; conde Saint-Aulairey miembro de la Cámara de los Diputados; conde Bigot de Preameneu, miembro de la comisión de los hospicios;…</t>
  </si>
  <si>
    <t>Chaptal</t>
  </si>
  <si>
    <t>…al 4e León barón Basta d de l’Etang, al conde Belliard, aI conde.-Raimond de Berenger , á nuestro piimo el mariscal duque de Conegliano, al teniente general ¿onde de Claparele, al conde Chaptal, al marques de Gatelan , á nuestro primo el chiqtie-dé-Cadore , al conde Colchen, al conde Cornudet, á nuestro primo el mariscal du-</t>
  </si>
  <si>
    <t>Chavarri, Santiago Posadillo y</t>
  </si>
  <si>
    <t>Santiago Posadillo y Chavarri</t>
  </si>
  <si>
    <t>…,de los Reyes , D., Juan Pimentel, Dv Agustín .Valeray Miaña, D Genaro Nove-lla,y Rppbiera, D. Francisco Orlando,y Fernandez, D. Aniceto Calvez, de Pedro, D.¡Juan Lacemba y Víale, Don Santiago Posadillo y Chavarri, D Rafael Sentistillano y Pescio, D. Luis Basols y Marañosa, D. Josef Pezuela y Heres, D. Juan Eiizaide y Royo, ,D. Diego Guerrero y Sedaño, D. Julián Velarde y Santillan, D. Josef Abev11a y Conde, D. Juan Teran y Caldera , D. Juan DFIerve y Paredes, Don Fran…</t>
  </si>
  <si>
    <t>Chayes, Martin de</t>
  </si>
  <si>
    <t>Martin de Chayes</t>
  </si>
  <si>
    <t>…s, seguido con la villa de Madrid, su procurador y abastecedor res de cámesúque han sido en ella, sobre aprovechamiento de. pastos.: 9.0 Real egecutoria del mayorazgo que fundó el Sr. Martin de Chayes, yf. posesiones dáaas á Doña Ines Megia de Chaves Sotomayor del dicho ma yorazgo. ¿i * io. Testamentodelsabel Peinador, y otro del Lie. D. Manuel Atatiaez ¿ie Pineda, cura propio del lugar de Villaescusa. ■' ti\,/t</t>
  </si>
  <si>
    <t>Churriaga.', Andrés de</t>
  </si>
  <si>
    <t>Andrés de Churriaga.'</t>
  </si>
  <si>
    <t>…ór doba, en el pleito seguido en dicha chancillería con Doña María Francisca de Hoces sobre reintegración de una dote, fecha 3 de Julio de 1673, reftendaca del escribano de Cámara D. Andrés de Churriaga.' 12. Testimonio de los títulos y papeles de hidalguía, limpieza y nobleza pertenecientes al Dr. D. Raimundo Campoy, abogado de la Real audiencia y chancillería de Valladolid. 13. Proposición sobre el derecho de los diezmos del territorio de la insig ne iglesia…</t>
  </si>
  <si>
    <t>Ci</t>
  </si>
  <si>
    <t>4 *3 „Díos guarde á V. $. muchos años. Cuartel principal de Actopan Agos to 5 de 1818. = Josef Barradas. = Sr. brigadier y comandante general D. Ci ríaco de Llano.” Madrid !ar de Abril, • . ; ? En los dias 29 y 30 del pasado se celebraron de orden del ¡Ruy nuestro Señor en la iglesia ae S. Francisco el Grande de esta corte soleriinés exequias por el alma de su augusto Padre el Rey D. Cáríos iv de Borbon,…</t>
  </si>
  <si>
    <t>…recomendarlos al Excite. Sr. vifey¿ ' • &gt; , , ; ' ,, pios’guarde á; V. S. muchos años. Puente del Rey Diciembre 20 dé* r8i&amp;. = Josef de Santa Marina. = Sr. brigadier y comandante general D. Ci~ ' riaco&gt;de I$lanó.” ( -- - .;-U) M í- ^ A - ' : - 'Quintarédr de lá Órdénty 'de:)Juniúl -- 1 :i 1 -- ' 11 La Serma. Sra. Infanta Doña Luisa (parlota fue recibida á.la entrada de este pueblo por el ayurítamíéhtoycíéfa; pefsbñás de'distiñcvon 'jr gran con curs…</t>
  </si>
  <si>
    <t>Ci-r</t>
  </si>
  <si>
    <t>…ni él de manos, y D. Jiiikm Ma teo en el de: pies.’ Fueron -gratificados en la: clase de adorno Dv Josef Ruiz; en. la de figuras D. Benigno Álaiza , D. Josef Saenz de Sta. María y D. Ci-r riaco Verdejo; en la.de cabezas D. Josef Ijon; en la de manos D. Baltasar Te jada y y ¿ni; la de -.pies'JD. Pedro Olano. Los jóvenes de este .país -acreditan con su egemplar asistencia y esbiero que no. les ..son indiferentes las distin guidas gracias dispens…</t>
  </si>
  <si>
    <t>Ciavareza, Luis</t>
  </si>
  <si>
    <t>Luis Ciavareza</t>
  </si>
  <si>
    <t>…D. Florencio Pereira/D. Manuel Rodrigpez Almeida, D. Vicente Rey, Don Ramón Casal y D. Manuel María Riberos. En trigonometría plana dichos Díaz, Casal, Rodríguez Almeida, Barbet y D. Luis Ciavareza. En trigono metría esférica los mismos Ciavareza, Casal y Rodríguez Almeida. En cosmográfíív los pifados Rey, Casal , Riberos, D. Joaquín y D. Luis Ciavareza. En navegación los referidos Pereira, Rey, P. Joaquín Ciavareza y D. Josef Alon so. En geografía el m…</t>
  </si>
  <si>
    <t>Cicognára, Veneciano Pedro</t>
  </si>
  <si>
    <t>Veneciano Pedro Cicognára</t>
  </si>
  <si>
    <t>…n la aldea de la Fratta , en el distrito de Róvigo, en casa de un antiguo general francés llamado-Arnaud, y en la de su cuñado Monti; los cuales han sido arrestados, y asimismo el conde Veneciano Pedro Cicognára.: Idem 24, Aseguran que se ha formado con aprobación de! Gobierno una asociación bajo el título-de Asociación para la mejora dé las cárceles,de la cual pa rece que se ha dignado declararse protector el Rey, y presidente el Duque de Angulema. De los mismos soc…</t>
  </si>
  <si>
    <t>Cifuentes, Joaquín de</t>
  </si>
  <si>
    <t>Joaquín de Cifuentes</t>
  </si>
  <si>
    <t>…del D. Bernardo Alvarez Ace ro se ha servido acordar el Consejo que para que pueda tener efecto esta soberana re solución de S. M. se cite y emplace por medio de este periódico á D. Joaquín de Cifuentes y á los herederos de D. Melchor Ronci, para que en el preciso y perento rio término de 30 dias.,' contados desde él de la publicación de este aviso, compa rezcan en dicho supremo tribunal por la escribanía de Cámara del cargo de D011 Manuel Abad, y por¡í^edio…</t>
  </si>
  <si>
    <t>Cilleruelo, Jacinto</t>
  </si>
  <si>
    <t>Jacinto Cilleruelo</t>
  </si>
  <si>
    <t>…s señores y á todas las personas que tengan noticia de su paradero .para que la den en Madrid en la mayordomía mayor de Palacio á D. Angel Lomi llo, portero de ella* y en Burgos á D. Jacinto Cilleruelo, ó escribiendot en dere chura á D. Anselmo Montero por Burgos Huermeces. En defecto de la existencia de estos son llamados al goce de dichas vinculaciones los hijos y sucesores de D. An tonio Montero Rodríguez de Ubierna, que por tos años de 1793 se hallaba e…</t>
  </si>
  <si>
    <t>Cimavilla, Manuel.de</t>
  </si>
  <si>
    <t>Manuel.de Cimavilla</t>
  </si>
  <si>
    <t>…’ ‘ ' ■' ' ' ESPAÑA. ■ '' ' ; . México ii de Febrero, Continuación delos'partes de Nueva-Espafía. Parte del comandante general D. Antonio de Litiares. ' ,,Exorno. Sr;: El teniente coronel D. Manuel.de Cimavilla, comandante militar de esta, me manifiesta-en el adjunto parte que habiendo atacado los de Jalpa al pqeblo .de^Apaseo el io del corriente fueron rechazados los rebel des con pérdida de 8 muertos, sin desgracia alguna de parte de aquélla guar nición , según lé…</t>
  </si>
  <si>
    <t>Círes</t>
  </si>
  <si>
    <t>…de nuevos triunfos conseguidos por las tro pas destacadas á perseguir al enemigo/1 Lo que traslado á V. E. para su su perior conocimiento; añadiendo que por avisos posteriores del brigadier Círes, estoy informado que han cogido al enemigo hasta 400 fusiles en muy buen e6taao, y que se continuaba persiguiéndole camino de Maturin, cogiéndoles bastantes prisioneros y caballos que dejaban abandonados-en su fuga.” El dia 6 de Enero del presente año, á las…</t>
  </si>
  <si>
    <t>Cires, Tomas</t>
  </si>
  <si>
    <t>Tomas Cires</t>
  </si>
  <si>
    <t>98</t>
  </si>
  <si>
    <t>…anglo-americanos dicen entre otras cosas lo si guiente : - ,, Hemos recibido una gaceta de Caracas del 6 de Noviembre, que con tiene un oficio dirigido por el gobernador de.Cumáná D. Tomas Cires al ge neral Morillofecha i.° de Noviembre, en que le dice que habiendo tenido noticia del plan de los enemigos por algunas cartas interceptadas, reconcen tró inmediatamente sus fuerzas en Cariaco, que era el punto que aquellos de bían; atacar desde luego. Est…</t>
  </si>
  <si>
    <t>Cires, Tomas de</t>
  </si>
  <si>
    <t>Tomas de Cires</t>
  </si>
  <si>
    <t>…sta-firme, desde Caracas con fecha de 18 de Noviembre úl timo remite al Exorno. Sr. Secretario de Estado y del Despacho universal de la Guerra los dos partes que siguen: r.° ,, El brigadier D. Tomas de Cires, gobernador de la provincia de Ctímaná, y comandante general de la cuarta división, con fecha de 18 del mes próximo pasado me dice lo que sigue: Excmo. Sr.: El ayudante mayor del batallón de infantería ligera de Clarines D. Manuel Lorenzo, desde Rio Carives e…</t>
  </si>
  <si>
    <t>1137</t>
  </si>
  <si>
    <t>1137 Capitanía general de Venezuela. „En este momento llega una flechera de Cumaná con pliegos del briga dier D. Tomas de Cires, de cuyo contenido satisfactorio tengo ei placer de informar á V. S. en sustancia para que se sirva comunicarlo al publico, que el 5 del corriente las tropas enemigas, sitiadoras de Cumaná, hicieron un empeñado ataque al fuerte Agua Santa, de donde fueron rec…</t>
  </si>
  <si>
    <t>…ique ios socorros. y [ c ARTICULO DE OFICIO. El teniente general D. Pablo Morillo dice al Excmo. Sr. Secretario interi no del Despacho dé la Guerra lo que sigue: ,, Excmo. Sr.: El brigadier D. Tomas de Cires, comandante general de la cuarta división, y gobernador de la provincia de Cumaná, con fecha de 23 de Noviembre dél año próximo pasado me dice lo siguiente: Hace tres dias que á eso de las'seis de la mañana sé me presentó un paisano, y me dijo que^ venia, esc…</t>
  </si>
  <si>
    <t>Ciríaco</t>
  </si>
  <si>
    <t>…el que manifiesta su parte que acompaño á V. S. ‘ ; j » • - ,,Dios: guarde á V\ S. muchos años. Tkcotalpan Octubre 6 de 1818.= Juan Bautista Topete. 3= Sr. brigadier y comandante general D. Ciríaco de.» ikUOí” ; ■'•L-ríC- Í--L. ' - jr. ; f . . . , , :ñ</t>
  </si>
  <si>
    <t>…■' i ' / ! O ■; - ■ . •■y ■■ COMAKpANCIA :GEtíE¿AL DB&lt; PUEBLA Y : VER ACIftJZ; i; " • ■ * - " . _ , , „ - : &lt;■!: * ■ ' ■ , ■ í ’. ; ’ dé -Llano. Oficio del brigadier y comandante general D. Ciríaco „Éxcmo. Sr.: Acaba de llegar de la expedición de la barranca de Santa María el coronel D. Josef Santa Marina , habiendo, sido el resultado de ella el que, manifiesta su parte ¡que original acompaño á V. E. , á cuya superioridád recomiendo al expresado gefe.y-…</t>
  </si>
  <si>
    <t>Cirios</t>
  </si>
  <si>
    <t>…o que logró la satisfacción’ de moer obtenido la expresada por méritos militares. JLEn el año de 1794, hallándose en Madrícf para pa sar á tomar baños , tuvo por oportuno S. M. e! Sr. D. Cirios iv , atendiendo á la estimación y cpneepto^qúe meréciá^ en Navarra, mandarle .á presidir las</t>
  </si>
  <si>
    <t>Cirios, D-</t>
  </si>
  <si>
    <t>D- Cirios</t>
  </si>
  <si>
    <t>…rifica ron, dejando á su salida las armas, banderas y caja militar á disposición i de 5*. católica, 2L,. En el .año de r^ó6; endhsis¿currepcías; déiMadrid Je confifiríó el Rey (el Sr. D- Cirios m )^ como'ayddante general de egército y de su Real Persona, el especial encargo de patrullar y tomar Iasfmas prudentes dis/ posiciones para la tranquilidad yí quietud' deiJpueblo; y en aquella, ocasión dio ¡as.mas señaladas y evidentes'praebas dei^elo,'exact…</t>
  </si>
  <si>
    <t>Cirist</t>
  </si>
  <si>
    <t>…, prensa, di jaraíz, aperos dé labor , ornamentos de la ermita y demas muebles que hay en el corr tijo , libre de todo gravamen, .Usado.t&lt;?4&lt;&gt; cnTsf\4ó9rrsí: linde por oriente con Don Cirist^báU^WgpUip^rlífP* Jo^eí’.Jb^jnfezj &gt;pot p^iente cün Doña, Francisca Xavier® Lozano*, ?sdro.£ahl$ Ayflími0! Jtpzanb -y-¡Montes ; ¡por mediodía con D. Diego, Fernan^qz ^tornas, tej^er^ dq .^lan, Xímenez tolano,, y camino de Yeéla p’aráxo^aVra en medio, y por el…</t>
  </si>
  <si>
    <t>Círsal, ÍMañuel'</t>
  </si>
  <si>
    <t>ÍMañuel' Círsal</t>
  </si>
  <si>
    <t>…dé S. M. ,y presídeme de la academia, tuvo á bien dar comisiona, los Sres. JDon IFraWhco' Ruiz , D Ignacio Rifíz dé Luzuriñga, D. Ramón Llord, D. Blas -Llanos:, &lt;D. Tedrn Xaphma , D. ÍMañuel' Círsal y D. Vicente ‘Carrasco, paca r^ue ton todo esmero y prólifídad hiciesen dbsén?acfones sobre esta raíz;*y las -que ofrecen los que Kan terfido oea^ióíi de examinarla han correspondido en Afecto *4 las/espéMuafcas $r. Tiah^níl Va^s'-^tids'prófésores v animados dé</t>
  </si>
  <si>
    <t>Cisneros</t>
  </si>
  <si>
    <t>…l é instrumental en el almacén de la calle dei Turco y en el de la carrera de S. Gerónimo. Elementos sublimes de geografía física natural, aplicada í la ciencia de campa na por el brigadier Cisneros, autor bien conocido entre los sabios militares y natura listas : un tomo en 8.°, que está ya en prensa , al que se suscribe en la librería de Bar co , carrera de S. Gerónimo, á 12 rs. á la rústica; y á los libreros que tomen de seis egemplares para arriba se…</t>
  </si>
  <si>
    <t>…gualmente se halla el tomo z.° en igual encuadernación y al mismo precio. \ Los suscriptores á los Elementos sublimes de geografía física aplicados á la cien cia de campaña por él brigadier Cisneros, acudirán á recogerlos á la librería de Bar co, carrera de S. Gerónimo, donde sé hallan ya de venta para el público, y en Barcelona en la de Dorca. En el anuncio de suscripción se manifestó cuanto contenía é interesaba: resta añadir que en un tiempo en que la…</t>
  </si>
  <si>
    <t>Cisneros, Alfonso Ximenezde</t>
  </si>
  <si>
    <t>Alfonso Ximenezde Cisneros</t>
  </si>
  <si>
    <t>…l dia 30 de Marzo en la Real iglesia de S. Francisco el Grande de esta corte á expensas del Rey nues tro Señor por su augusto Padre el Sr. D. Cárlos iv de Borbon, pronunció el Dr. Don Alfonso Ximenezde Cisneros, capellán de Honor, y predicador de S. M. &amp;c. Se ha llará en el despacho de libros de Laborda, calle Mayor, portal de manguiteros, á 4 rs. EN LA IMPRENTA REAL. ~</t>
  </si>
  <si>
    <t>Cisneros, Baltasar Hidalgo de</t>
  </si>
  <si>
    <t>Baltasar Hidalgo de Cisneros</t>
  </si>
  <si>
    <t>…ledo, y marquesa viuda de Váidecarzana. : • ; * Grandes cruces de Id orden Americana, .• v 1 El cardenal arzobispo de Toledo; D. Josef Sebastian de Goyeneche, obis po de Arequipa; D. Baltasar Hidalgo de Cisneros; D. Carlos Urrutia, capi tán general de Goatemala; el teniente general D. Josef de Bustámante, y el mariscal de campo D. Pascual Liñañ. Comendadores de la misma, D. Ignacio Adalid Gómez de Pedroso, vecino de México; D.JNicolas Pícoaga, coronel graduado de mil…</t>
  </si>
  <si>
    <t>Cisneros, Esteban Hidalgo de</t>
  </si>
  <si>
    <t>Esteban Hidalgo de Cisneros</t>
  </si>
  <si>
    <t>…ovalina, D. Calixto Paredes y Lardin, D. Josef Castellani y Ximenez , D- Francisco Nuñez y Pascual, D. Pedro Junquera y Velez, D. Josef Butrón y Butrón, Df Josef Rigada y ¡Llano y D. Esteban Hidalgo de Cisneros, . . ? Queriendo el Rey nuestro Señor recompensar los buenos servicios, distin guidos méritos é inconcusa fidelidad del conde de S. Xavier y Casa-Laredo, se ha dignado condecorarle con la gran cruz de la orden Americana de Isabel la Católica. Continuación del…</t>
  </si>
  <si>
    <t>Cisneros, Melchor de Liñan y</t>
  </si>
  <si>
    <t>Melchor de Liñan y Cisneros</t>
  </si>
  <si>
    <t>…e otorgaron el Lie. D. Josef Xavier Rosado, cora propio de la iglesia parroquial de Sta. Alaría del Castillo de la villa de Buitrago, como capellán de la que mandó fundar el limo. Sr. D. Melchor de Liñan y Cisneros, arzo bispo que fue de la ciudad de Lima, por una parte, y de la otra Juan Gar^« cía, vecino de la Puebla de los Valles, por sí mismo y en nombre de Alfon so Escovar, Juan Martinez y otros, también vecinos de la misma villa, sobre una huerta, de caber de 30 f…</t>
  </si>
  <si>
    <t>Clancarty</t>
  </si>
  <si>
    <t>…s disposiciones convenientes para recibir el cuerpo de egército ruso que ha de pasar muy en breve por el reino de Polonia. . ,* Francfort 13 de Diciembre. Ayer llegó á esta ciudad lord Clancarty; de suerte que ya están reunidos los ministros de las cuatro grandes potencias, y se aguarda por instantes á los ministros de Baviera y de Badén. Idem 17. Circula estos días un’escrito muy notable, y que debe llamar la atención pública, singularmente en una é…</t>
  </si>
  <si>
    <t>Clark, Roberto</t>
  </si>
  <si>
    <t>Roberto Clark</t>
  </si>
  <si>
    <t>…gitud O. del meridiano de París, descubrió á lo lejos un bergantín enteramente desam parado, que parecía estaba en eP mayor apuro; y luego conoció que era el Roberto, de Blíth, su capitán Roberto Clark, que habia salido de Liverpool para Nueva-Yorck, y estaba navegando 100 dias haciíj. A su bordo habia 18 personas, entre ellas cinco niños y cuatro mugéres, la mayor de 23 años de edad. La tripulación desfallecida de hambre se mantenía hacia mucho tiempo con…</t>
  </si>
  <si>
    <t>CláüdioSanz</t>
  </si>
  <si>
    <t>…ia del referido señor juez., 1 " Tór^éi jüzgádb' del Sr. D. Angél Fernandez de íos Ríos, -primer teniente de Cor regidor de esta muy heroica villa, y por la escribanía denámero de D. CláüdioSanz , sé ha puesto demanda á nombre de D. Bartolomé López Pelaez, vecino de la Membrilla, éH Ja provincia' de la Mancha, sobre qué se declaren de su pertenencia'los vales Reales siguientes: Uño de 600 pesos de Enero de 1809, numero;375137í que salió en la.renavac…</t>
  </si>
  <si>
    <t>Clavarria, Domingo</t>
  </si>
  <si>
    <t>Domingo Clavarria</t>
  </si>
  <si>
    <t>…a, vecino de la Havana; á D, Juan Sayol , subdelegado de Hamacad, en Ja isla-de Puerto-Rico; á D. Josef Marín y Muros, administra^ dór ‘de alcabalas de VáÁtdoIid de Méchoacan, y á D. Domingo Clavarria; administrador de tabacos de Puerto Cabello ,’en las provincias de Venezuela. El Rey nuestro Señor se ha dignado conceder á D. Juan Ferréti, vecino y Rd comercio dé I.B.' Havana, su Real permiso para que ppeja usar la condecorado» de la flor de L¿s coq que le…</t>
  </si>
  <si>
    <t>Cliford</t>
  </si>
  <si>
    <t>…iones cois esperanzas de felices resultados. . ' . ' ..... :: •: - ;- .... Idem «5. ' Hace tres dias que llegaron á esta corte lord Sulliwaii^ consejera íntím* de S. M. Británica, lord Cliford y¡ lord Sumerville. ídem 28 El Emperador.de Ruda ha recibido de Inglaterra un sable fabricado en Londres en el obrador de Mr. Sowerby, del hierro de un aeróiito, ó piedra ¿raída de ía atmósfera, que llevó del Ornó“de Bueña-Esperanza á Inglaterra efe Capitán B…</t>
  </si>
  <si>
    <t>Clnio, Manuel Vela y</t>
  </si>
  <si>
    <t>Manuel Vela y Clnio</t>
  </si>
  <si>
    <t>…láminas finas: un tomo en 4.0 Se hallará en la librería de Ranz, ca lle de la Cruz, á 36 rs. en pasta y 30 en rustica, El Alma al pie del calvario: obra traducida del francés por D. Manuel Vela y Clnio: cuarta edición, dos tomos en octavo. Se hallará á 20 rs. en pasta en la li brería de Novillo, calle déla Concepción Geróníma. Disposiciones seguras para proporcionar abasto y baratura de pan en Madrid y en las ciudades principal^ del reino. Véndese á 4 rs. e…</t>
  </si>
  <si>
    <t>Cnarlemont</t>
  </si>
  <si>
    <t>…fueron pocas las voces que se, oyeron en contrario; y cuando de claró el lord corregidor que estaba aprobada fue general el aplauso. Se adoptaron también dos acuerdos que propuso lord Cnarlemont del te*, ñor siguiente: i.° ,,Que consideramos la emancipación de nuestros hermanos los cató licos romanos como una providencia sumamente favorable á la tranquilidad de Irlanda, y esencialmente necesaria á la permanente prosperidad del imperio británico. 2.0…</t>
  </si>
  <si>
    <t>Co, Juan</t>
  </si>
  <si>
    <t>Juan Co</t>
  </si>
  <si>
    <t>…ey deNueva- España^ ..... ... . .. ... . •; r;' ,,Excmo. Sr.: En el adjunto par té me manifiesta el teniente coronel t)on Pedró Ruiz de Otaño haber logrado aprehfender al titulado coronel Juan Co rona y á otros tres rebeldes , siendo el primero bien conocido desde el prin cipio de la rebelión. Logró también quitarles tres fusiles, Una lanza;1 cuatro sillas y una remonta dé 48 caballos á másáeloSqiietraian ensillados, cuyo</t>
  </si>
  <si>
    <t>Cobos, Antonio</t>
  </si>
  <si>
    <t>Antonio Cobos</t>
  </si>
  <si>
    <t>…ante D. Jo sef Solans, quien después de comunicar mis órdenes con toda energía á los diferentes puntos que fue necesario, salió á batirse con las guerrillas; y el Capitán agregado D. Antonio Cobos se batió bizarramente con la tropa que puse á sus órdenes. Merece la mas distinguida recomendación el valiente escua drón de carabineros que. manda el teniente coronel graduado D. Narciso Ló pez-, quien con el valor que repetidamente tiene tan acreditado, lo…</t>
  </si>
  <si>
    <t>Cochrane</t>
  </si>
  <si>
    <t>…sido víctimas, como si los hubiese mandado asesinar.’* . . / r Asimismaen algunas casas, de comercio de esta capital se han recibido di ferentes cartas, en las cuales se dice que lord Cochrane había sido eompleta;snente derrotado en el Callao de Lima; y aun algunas añaden que al querer abordar Cochrane en un ataque desesperado á los buques españoles, había, sido muerto. Sin embargo esta última parte necesita confirmación. FRANCIA. "Parts 28 de Juni…</t>
  </si>
  <si>
    <t>…ta capital se ha publicado la noticia siguiente: *: ,,Ayer recibimos gacetas de Buenos-Aires hasta el 9 de Junio, en las cua les se dice, con referencia á noticiáis de Chile , que lord Cochrane se’babia visto óbligádo á abandonar el bloqueo del puerto del Callao, dando por motivó de esta medida ,, la urgente necesidad de proveerse de agua y víveres.” r ■* Es de notar que la carta en que lord Cochrane da parte de esta resolu ción al Gobierno revoluci…</t>
  </si>
  <si>
    <t>Cockbrun</t>
  </si>
  <si>
    <t>…e se disminuyese el número de los lores del almirantazgo, en atención á que los jóvenes que ocupan estos empleos lu crativos no hacen mas querpasearse en los .parques.;vS©stuvo el almirante Cockbrun la necesidad-de mantener eF número actual de los lores diciendo que á Ó1 por su párte se le pasaban muchas semanas sin poderse pasear ni una hora siquiera por no permitírselo sus muchas ocupaciones. Sir Calcrafr opinó que la mejor defensa seria considerar las…</t>
  </si>
  <si>
    <t>Cocolina, Santiago</t>
  </si>
  <si>
    <t>Santiago Cocolina</t>
  </si>
  <si>
    <t>…D. Servando Aíarañon, D. Cristó bal Rubio, D. Celso PJanzon ,SD. Fernando Perez de Rozas y Campuzano y D. Domingo Díaz: en la de matemáticas puras medallas acuñadas á pro pósito á D. Santiago Cocolina, y al cadete de artillería D. Pedro OJano: en da de dibujo una .medalla de oro á D. Benito Campo , y otra de plata á Don Francisco Schell* opositores al modelo de yeso: otra medalla de oro á-Dcn</t>
  </si>
  <si>
    <t>Codina</t>
  </si>
  <si>
    <t>…l caballero Moreti* á 80: cabatína de Rossini Tu que resides, para guitarra, á 6: gran marcha fúnebre dd profesor Inzenga para piano forte, á 6: tema con variaciones para ídem del profesor Codina, á 8: adagio para ídem de Cramer,_ á ú: divertimiento para ídem del pro fesor Córdoba, á 9: rondó para ídem del mismo, á 6% polonesa para ídem dtel caba llero Rowlewsky,i 4: tres dups para.guitarra y violín del caballero Moreti, óp. 9, ¿40; tema con variacion…</t>
  </si>
  <si>
    <t>Coello, Diego</t>
  </si>
  <si>
    <t>Diego Coello</t>
  </si>
  <si>
    <t>…ión de las niñas, y que su fomento era el mejor testimonio de los desvelos de este cuerpo patriótico, y el mayor obsequio al Rey nuestro Señor en su día na talicio. Ultimamente el Sr. D. Diego Coello leyó una oda en elogio del mismo natalicio v de las escuelas gratuitas, animando á su fomento para celebrar la memoria del ReY nuestro Señor. Madrid 24 de Diciembre. El 29 del próximo pasado Noviembre la M. N. F. Y. L. ciudad de Chin chilla, representada por…</t>
  </si>
  <si>
    <t>Coeten, Temante de</t>
  </si>
  <si>
    <t>Temante de Coeten</t>
  </si>
  <si>
    <t>Num. 8. cuartos.] 6r GACETA DE MADRID BEL MARTES 19 BE ENERO DÉ 1819. SAXONIA. Lei'psik 19. de Diciembre, A las 11 de la noche del día 16 falleció el duque Temante de Coeten, que estaba bajo la tutela del duque de Bernbourg. Habiendo venido á esta ciudad por el mes de Agosto último á dar fin á sus estudios en esta universidad, ca yó enfermo de sarampión, y apenas habla convalecido de esta enfermedad le atacó una violenta fiebre,…</t>
  </si>
  <si>
    <t>Coirsen</t>
  </si>
  <si>
    <t>…a y habichuelas, 10 idem. 27. Idem la Virgen del Carmen, patrón Juan Hernández, español, de Gibraltar, en lastre, y 14 sacos de arroz*, 10 ídem. 28. Corbeta de guerra Linx, patrón capitán Coirsen, holandés, de Mi* lo, 30 idem. Madrid 4 de Junio. Xa Serma. Sra. Infanta Doña Luisa Carlota salió de Valencia en la maña na del 31 del pasado, y llegó á S. Felipe á las dos de la tarde. Asi eo este pueblo como en los del tránsito estaban adornadas las calles…</t>
  </si>
  <si>
    <t>Coissen</t>
  </si>
  <si>
    <t>…austríaco, de Arceo, con cebada y 12 cajas de jabón, 40 idem. 17. Bergantin Patroclo, patrón Panahi Dendríno, ruso, de Ismail, coa trigo, 30 ídem. ^ 18. Corbeta de guerra I.iif&gt;K, capitán Coissen, holandés, de Milo , 30id. 19. Bergantin Gran Duquesa Catalina, patrón TeodoroPipn-in, ruso, de Constatitinopla, con trigo, 30 ídem. 2p. Bergantín Epam inundas Y patrón Nicolás Juan, ruso', de Constanti- nopla, con trigo, 30 idem.</t>
  </si>
  <si>
    <t>Col, Miguel</t>
  </si>
  <si>
    <t>Miguel Col</t>
  </si>
  <si>
    <t>…n, canónigo de la catedral de Astorga. Honores de médicos de Cantara. A D. Josef Martínez Gil, y D. Félix Casanova. Honores de cirujanos de Cámara. \ ' ‘ A D. Josef Gil Campos \ y D. Miguel Col!. ^ * V . í . JL ■ . ’ Idem de boticarios de Cámara. A T&gt;. Josef Mignard , jr D. Calixto García. ídem de cirujano de Familia. A D. Ptócido del Valle. . - ■ ; : , ■ .■ . ¡ U. i ■ , - - --i-' ■ V v.r-;. • ./ kota. Las gracias concedidas por. los, oíros minister…</t>
  </si>
  <si>
    <t>Colchen</t>
  </si>
  <si>
    <t>…nger , á nuestro piimo el mariscal duque de Conegliano, al teniente general ¿onde de Claparele, al conde Chaptal, al marques de Gatelan , á nuestro primo el chiqtie-dé-Cadore , al conde Colchen, al conde Cornudet, á nuestro primo el mariscal du-</t>
  </si>
  <si>
    <t>Colomar, Bartolomé</t>
  </si>
  <si>
    <t>Bartolomé Colomar</t>
  </si>
  <si>
    <t>…síntomas, efectos, naturaleza y verdadfero método de curación de las enfermedades venéreas por F. Swediaür , traducido de íá última edi-’ cion francesa con notas -y adiciones por D. Bartolomé Colomar, profesor de medicina, individuo de varias academias, y médico honorario deja Casa.Real: segunda edición corregida y aumentada considerablemente. Hemos creído hácer un importante servicio á la nación con la publicación de esta útilísima obra, qué contiene la…</t>
  </si>
  <si>
    <t>Colon, Casimiro</t>
  </si>
  <si>
    <t>Casimiro Colon</t>
  </si>
  <si>
    <t>…dió; la nobleza personal, y el grado de teniente^ coronel en el , ( . &gt; eo t . /batallón de Barinas'donde sirve. :&gt; 1y Milicias de pardos de Valencia. Capitanes. D. Ramón Hidalgo, Don Casimiro Colon, D Fermín Pajdrázá, y D. Pedro María. ; Tenientes. D. Hilario Noguéras v D. Antonio Rodríguez y D. Josef Ama dor han sido confinmados en sus enipléos * y obtenido 1¿ nobleza personal.^ ■ - Capitanes de las guerrillas de Barinas. ‘ ©.'Francisco Xavier Palmero;…</t>
  </si>
  <si>
    <t>Colon, Diego</t>
  </si>
  <si>
    <t>Diego Colon</t>
  </si>
  <si>
    <t>…su dotación es 500 robos de trigo, y libre de contribuciones. Los pretendientes dirigirán sus memoriales al. al calde de la villa de Carcastillo. Rimas en honor de la España, por D. Diego Colon: un tomo en 8 o Se hallará en el despacho de la imprenta Real, y en la librería de Orea , calle de la Montera, á 16 rs, en pasta y 13 en rúnica. Esta obrita es una colección de poesías consagra das á celebrar la gloria que ha conseguido el pueblo español á co…</t>
  </si>
  <si>
    <t>Colon, Pedro</t>
  </si>
  <si>
    <t>Pedro Colon</t>
  </si>
  <si>
    <t>…re los discípulos que se presentaron á responder á las cuestiones que se lés hiciéron, los tres sobresalientes fueron J&gt;. Saturnino Montojo, alférez* de fragata de la Real Armada, D. Pedro Colon, y D. Joaquín Blafce, subte ■ &lt;r 1 ■■ -■ *" ; ' ^niente de áápBdéies, *•&gt; \ Se previene que todas las personas que deseenr asistir en clase de discípulos q di Ía&gt;de¿cJyéWtesjftl «segundo -curso de física del mismo Real estudicc -de-</t>
  </si>
  <si>
    <t>Combermere</t>
  </si>
  <si>
    <t>…i rúi Hacen muchos estragos las viruelas en la isla de la ^Martinicasegún íai gacetas de Jamaica , y él gobernador de aquella colonia, francesa haenviadoá pedir pus de la vacuna á lord Combermere ¿ gobernador de la Barbada. • En Roma se hallan actualmente reunidos muchos, personages, como el Príncipe Nicolás de Estherazy, el conde de Capo de Istria y el gran duque Miguel.&amp;C.M: • i- o , '&gt; •&lt; "{ . -.«V.-í?? -■:&gt; Parece que se están tratando en Francfor…</t>
  </si>
  <si>
    <t>Cón, Josef María</t>
  </si>
  <si>
    <t>Josef María Cón</t>
  </si>
  <si>
    <t>…encia, yrector desaquella* universidad; marques de Ca&lt;a-Calderon &gt; alcalde dei Crimen en Lima; D. Antonio Picardo, Vecino de Cádiz ; D. Baltasar de Represé, comisario “de .guerra; D. Josef María Cón¿ de Salazar, regidor de Córdoba; D. Joaquín Gregorio deGoycoa, vecino de S. Sebastian; D. Josef Campo y'Soler, cónsul general y comisario en SierraLeona ; D. Felipe Patdo y García , prebendado en Segovia ; D. Manuel Fidalgo, intendente de Zamora; el conde de…</t>
  </si>
  <si>
    <t>Concha, Manuel de Ja</t>
  </si>
  <si>
    <t>Manuel de Ja Concha</t>
  </si>
  <si>
    <t>…presente rebelión, pues desde los principios abrazó aquel inicuo partido, siendo este el que entré otros infinitos excesos dio muerte al benemérito comandante de la villa, de León capitán D. Manuel de Ja Concha. Asimismo dio dicha guerrilla alcance al titulado capitán. Vícente García, y pasando en seguida á-los cerros del Rubí, reforzada también con otra parti da de dragones del Príncipe al mando de mi ayudante capitán graduado de dragones de Moneada D. Esteban Quir…</t>
  </si>
  <si>
    <t>Conde, Alejandro del</t>
  </si>
  <si>
    <t>Alejandro del Conde</t>
  </si>
  <si>
    <t>…resados réditos por eli neferido tiempo* ¿ . Por segundo término de 20 dias se cita, llama y emplaza á todos los acreedores, contra los bienes pertenecientes á la testamentaría de D. Alejandro del Conde, del comercio que fue de lienzos en esta corte, para que en ellos se- presenten á legitimar Jos que respectivamente Ies corresponda por sí ó per medio de procurador con poderbastante al juzgado del Sr. D. Vicente García Cavero, del Consejo de S. M., su*al cal…</t>
  </si>
  <si>
    <t>…de se admitirán las que se hiciesen siendo arregladas. Por tercer© y último término d; 26 días se cita, llama y emplaza á todos los acreedores i los bienes dte la testamentaría de D. Alejandro del Conde para que con curran á legitimar los que les cor responda al juzgado de provincia del Sr. D. Vicen te García Cavero, del^Gorascjode S. M.t su alcaide en su Real Casa y Corte, y es* cribanía de D. Mauricio Justo del Rincón ¡ apercibidos que pasado se proccderá^…</t>
  </si>
  <si>
    <t>Conde, Carlos</t>
  </si>
  <si>
    <t>Carlos Conde</t>
  </si>
  <si>
    <t>…stro Señor, á comulta de; la Cámara, se ha dignado elevar á título de Castilla el de conde de España &gt; que ha acreditado corresponderle el teniente general de sus Reales tgércitos D. Carlos Conde de España, como descendiente por línea ¿legítima de los antiguos condes de Comingesy de Foixj y atendiendo á los relevantes é ilustres enlaces de- estas familias, y en consi deración á la inalterable fidelidad , amor á su Real Persona, y distinguidos ser vicios deí exp…</t>
  </si>
  <si>
    <t>Conde, Santiago</t>
  </si>
  <si>
    <t>Santiago Conde</t>
  </si>
  <si>
    <t>…ente. Continúa la lista de los contribuyentes y suscriptores para socorrer los pue blos afligidos con la epidemia. Número 38. D. Miguel Perez 2® rs. Núm. 39. Doña N. 100. Nóm. 40. D. Santiago Conde 60. Núm. 41. D. Manuel Ximenez 20. Núm. 42. Doña Manuela Alvarez 20. Núm. 43. D. Manuel Alemp.te 320. Núm. 44. Don Francisco Navarro, bordador, 60. Núm. 45. Los oficiales de D. Francisco Navarro, maestro bordador, 130. Núm. 46. D. Juan de Lecanda 100. Nú mero…</t>
  </si>
  <si>
    <t>Conejo, F.</t>
  </si>
  <si>
    <t>F. Conejo</t>
  </si>
  <si>
    <t>…a les Reales importantes 180 f rs. Núm. 120. El señor cura de S. Sebastian de Ma drid, por limosna de una feligresa suya., 1®. Núm. 121.D. P.320. Núm. 1224 D. F- S. 320. Núm. 123. D. F. Conejo 120. Núm. 124. D. J. IL. 18. rs. y 2-4 mr$.Núm. 125. El R. P. abad y cura de S. Martin de Madrid, por limos nas 'recibidas de los feligreses de dicha parroquia, 1882. Núm. 120. D. Lo renzo Ximenez 60. Núm. 127. Doña N. 4. Núm. 128. D. Josef Galvez 12. Núm. 12…</t>
  </si>
  <si>
    <t>Consalvi</t>
  </si>
  <si>
    <t>…cuchillada en el brazo, de cuyas resultas murió tres días después en Ro ma. Los mismos salteadores robaron también á otros varios sugetos, á quie nes ha socorrido generosamente el cardenal Consalvi. ESPAÑA. ¡ ' México i&amp;de Junio. v Continuación de los partes de Nueva-España. HUEVA—GALICIA. , Parte del Exento. Sr. comandante general mariscal de campo D. Josef de la Cruz. ' ■ . ,,Excmo. Sr.: Paso á manos de V. E. para su debido superior conoci miento el p…</t>
  </si>
  <si>
    <t>…ador se ha'de detener en Florencia casi todo el mes de Marzo, hay tiempo para que el príncipe se agregue a S. M. ames de que emprenda: su viáge á Roma y á Nápoles. i Dícese que el cardenal Consalvi saldrá a recibir á SS. MM. II. á Floren cia ó á lasHFronteras de los" estados pont irte i os por la parte de Radicofani, que es lo mas probable, porque los negodos del Gobierno no le permitirán ale jarse de Roma Las pruebas que ha dado de so liberalidad en es…</t>
  </si>
  <si>
    <t>…dar importancia á estas diferencias, las cuales no sonde grande consideración, co mo basta para probarlo el viage de S. M. El Príncipe Regente de Inglaterra ha pedido á S. S. y al cardenal Consalvi que permitan saque sus retratos el pintor ingles Sir. Tomas Lawrence para colocarlos en la galería de S. A. en Garlton-house, y dentro de poco se espera aquí á este pintor. AUSTRIA. Viena 20 de Marzo. Casi todo el cuerpo diplomático residente en esta corte ha…</t>
  </si>
  <si>
    <t>…Policía, y tomó las disposiciones convenientes para reci-; bir á los augustos viageros. Monseñor RiarÍo,gefe de la Cámara de S S., pa só á Viterbo á cumplimentar k SS. MM. II. El cardenal Consalvi, secretario de Estado, acompañado de 16 camareros secretos, salió á recibirlos en el puen te Milvio, donde-se había construido un pabellón para que SS. MM. descan saran un poco. Luego que llegaron al puente los augustos Monarcas fueron sa-* ludados con repeti…</t>
  </si>
  <si>
    <t>ConsalvI</t>
  </si>
  <si>
    <t>…erno de 5. 5. el Príncipe Canino - (Ludan*. Bonaparte) los pasaportes cor respondientes, pora su hijo mayor, á quien que ría enviar á América al lado de su tió Josét BoÁaparte, el cardenal ConsalvI, ministro de Estado, rehusó .accederá estasolicitud^ aconsejando al Príncipe que pidiese piara ¿lio el consentimiento de las cinco gránder potencias. T * ! ¡, ' suíza./ y; jLamána 2$ -de Mayo. En Berna, /Zurich y Ba&amp;lea ha:puesto un hamburgués, llamado Dirks,…</t>
  </si>
  <si>
    <t>Consalví</t>
  </si>
  <si>
    <t>…rio en la Cá mara apostólica. Uno de los principales objetos de este examen es averiguar los abusos que se han cometido, pues sin .embargo de la notoria integridad del ex-tesorero cardenal Consalví, son acusados algunos de sus subalternos de haber malversado cantidades de mucha consideración. Está encargado interi namente del despacho de Hacienda Monseñor Gaspari. Da mucho que hablar el mal éxito de la empresa de Mr. Naro para ex traer las antigüedades…</t>
  </si>
  <si>
    <t>…i.® de Enero próximo, en cuya época se habrán terminado las conferencias.de Viena. El barón de Schmitz, que ha vuelto últimamente de Roma, recibió antes de su partida una nota del'cardenal Consalvi relativa á los negocios de las igle sias católicas de Alemania. Esta nota, que debe examinarse por los Gobiernos interesados, contiene, á lo que se dice, ciertas propuestas para un estado pro visional con arreglo á.los principios adoptados por las grandes pot…</t>
  </si>
  <si>
    <t>Cóñsalvt</t>
  </si>
  <si>
    <t>…iie sóplaba dél nordeste' llevó á otrOj ‘ladO&gt; las- llama#. Pódibrfcd. ; italta/ - • ^% -: ' : - ;"h;r:v:; 'v';- \ .?•&gt; ; ■ V-’ , Roma iSdé’Agosto. ^La repentióa indisposición del cardenal Cóñsalvt*'ha; causado rtucbasefistetoh en! esta .ciudad % en donde éétá müy! qtferidó de sus; habitantesy tés cqI&lt; 1es han manifestado el mayor ínteres éh él restablecimiento de su salud. ■! • 1 . I i'/bí ■J p ■' &gt;' - . ;• ¡.'«i :'! : \?b:; : ■ .:•/■■■&gt;- alemanIa. 0?:…</t>
  </si>
  <si>
    <t>Constantino</t>
  </si>
  <si>
    <t>…vuelve dé Vieña á Polonia por Zarhósk; pero no se detendrá en nuestro país porque está señalado el Itinerario por Ouscilong, que es un pueblo corto fronterizo á la Rusia. El gran duque Constantino saldrá á avistarse con su hermano en Zamosk. SAXONIA. í... Dresde 25 de Diciembre. .El Rey y la Reina de Saxonia llegaron el dia 21 i Leipsick muy entrada la noche. Se asegura que no tardará en publicarse de oficio el próximo matrimonio del Príncipe Federico…</t>
  </si>
  <si>
    <t>Contreras, Ana de</t>
  </si>
  <si>
    <t>Ana de Contreras</t>
  </si>
  <si>
    <t>…r en el citado vínculo, que según los llamamientos1 específicos lineales contenidos en la fund'acion de él son D. Alonso de* Contreras, Dona María dé Contreras, D. Josef de Tapia, Doña Ana de Contreras, su rnuger, D. Juan de Tapia y p. Josef de Tapia, y que para que llegue á su no-; ticia se anuncie en la gaceta de esta corte. En cuya- virtud se previene á todos los! que tengan dicho derecho de. suceder que .dentro de 4 meses y 20 dias, por que se ha fijado…</t>
  </si>
  <si>
    <t>Contreras, Ána María</t>
  </si>
  <si>
    <t>Ána María Contreras</t>
  </si>
  <si>
    <t>1122 A Doña Ána María Contreras, de este vecindario, viuda de Jaime Aragónsoldado de la brigada del Real cuerpo de Artillería de la capital, sacrificado: por ios insurgentes después de preso en las bóvedas de la Guaira el año de 13 '; la pensión de real y medio diario. A Doña Leonor-de Alca…</t>
  </si>
  <si>
    <t>Contreras, Antonio</t>
  </si>
  <si>
    <t>Antonio Contreras</t>
  </si>
  <si>
    <t>…' o ;&gt;.■ i:. .■ ?/,-{ Coiitimía la lista de los sujetos que ham contribuido &gt;i y se .kan suscrito - en Madrid para socorrer los pueblos epidemiados, o *, . ' ; . .• ;&gt; Numero 441. D. Antonio Contreras 60. rs. Núm. 442. Doña 2.©. Núnfí. 443. Los Sres. cuestores del cuartel del Avapies, por la demanda isemaiíal, 850. Núm. 444. prAntolin Hernández 80. Núm.r»44$. 'Los señores ■ cuestores debcüartel de Afligidos;, por la demanda semanal, 845. rs. y 6 mrs. ' Núm…</t>
  </si>
  <si>
    <t>Cór, Francisco de Paula Fernandez de</t>
  </si>
  <si>
    <t>Francisco de Paula Fernandez de Cór</t>
  </si>
  <si>
    <t>…manera que en los 12 años que permaneció en el Real monasterio de las Sale sas dió claros indicios de su último y feliz término. En 25 de Octubre de 3784 se desposó con el Excmo. Sr. D. Francisco de Paula Fernandez de Cór doba y Pacheco, conde de la Puebla del Maestre , sumiller deCorps de S. M., su gentilhombre de Cámara con egercicio, caballero de la insigne orden del Toison de Oro, y gran cruz de la Real y distinguida de Cárlos m. En los 35 años que ha durado este matrimoni…</t>
  </si>
  <si>
    <t>Cór, Isabel Antonia Zóa González de</t>
  </si>
  <si>
    <t>Isabel Antonia Zóa González de Cór</t>
  </si>
  <si>
    <t>…üiz ¿escribano dé dicha vifla de Pezuela de las Torres á 2 de Diciembre de 1643. , , ; "■&gt; - 14. Títulos correspondientes al marques de la Hinójosa. ‘ ^15. Papeles concernientes á Doña Isabel Antonia Zóa González de Cór doba , viuda, vecina de. esta Corte, en el pleito que' sigue con. el Sr. fiscal de jai subdelégacion de bienes Mostrencos , sobre que sé declaren, vacantes Jos 3 2 5,668 rs. existentes en la Real caja de ConsoUdacíont como producto líqui do de una casa perten…</t>
  </si>
  <si>
    <t>Cordero, Francisco</t>
  </si>
  <si>
    <t>Francisco Cordero</t>
  </si>
  <si>
    <t>…señor canónigo lectoral $0b e las utilidades del comercio de importación de granos de producción ex traña para el consumo propio, proposición 57, y las que expuso en seguida el B. D. Francisco Cordero, clérigo menor, y profesor de matemáticas, sb» bre varios puntos de la mayor importancia. Este acto fue uno de los mas lu cidos y concurridos por la excelente y bien merecida opinión que gozan es-</t>
  </si>
  <si>
    <t>Cordero, Luís Pasos</t>
  </si>
  <si>
    <t>Luís Pasos Cordero</t>
  </si>
  <si>
    <t>33° Bernardo Sánchez, y el teniente 'D. Luís Pasos Cordero ; los sargentos pri* meros Josef María Pulido, Nicolás Velez , Josef Hilario Ramos', Miguel Hernández, Honorato Castro y Matías Surio , y los cabos Isidro Cabezas y Josef Avila. ,,El capitán D. Francisco Sañudo, comandante del punto de Papantía, deseoso de la…</t>
  </si>
  <si>
    <t>Córdoba, A. Fernandez de</t>
  </si>
  <si>
    <t>A. Fernandez de Córdoba</t>
  </si>
  <si>
    <t>…ma con variaciones para guitarra sola desdicho autor, á 8.'= Obertura de da.Lódóuska para guitarra sola, á 8. nJema con variaciones de la ópera el Tancredo , par ra pianoforte, de D. A. Fernandez de Córdoba, á 6 rs., grabado por el profesor Don Bartolomé Wirmbs. Se hallarán en el despacho de música en la calle del Turco, y en el almacén de música en la carrera de S. Gerónimo, donde hay un completo sur tido de todas clases de música vocal é instrumental, nacional…</t>
  </si>
  <si>
    <t>Córdoba, Mana Guadalupe Moneada de Fernandez de</t>
  </si>
  <si>
    <t>Mana Guadalupe Moneada de Fernandez de Córdoba</t>
  </si>
  <si>
    <t>…isma audiencia. Orden de María JLuísq, \ } Marquesa de Castromonte; condesa de la Puebla de los Infantes; marque sa de Castelar; duquesa de S. .Lorenzo; marquesa viuda de S. Román Doña Mana Guadalupe Moneada de Fernandez de Córdoba; condesa de Balazote; condesa de Torres Cabreras; condesa de Sta. Ana; Doña Rosa Gastón de Apodaca; Doña María Salazar Alvarez de Toledo, y marquesa viuda de Váidecarzana. : • ; * Grandes cruces de Id orden Americana, .• v 1 El cardenal arzobispo de Toledo; D…</t>
  </si>
  <si>
    <t>Cornudet</t>
  </si>
  <si>
    <t>…iimo el mariscal duque de Conegliano, al teniente general ¿onde de Claparele, al conde Chaptal, al marques de Gatelan , á nuestro primo el chiqtie-dé-Cadore , al conde Colchen, al conde Cornudet, á nuestro primo el mariscal du-</t>
  </si>
  <si>
    <t>Coro, León</t>
  </si>
  <si>
    <t>León Coro</t>
  </si>
  <si>
    <t>929</t>
  </si>
  <si>
    <t>…la Vega, catedrático de dicha dase, alusivo á las circunstancias. En se guida se presentaron los alumnos D. Antonio Moyano-, D. Domingo Ortiz, D. Josef Murien, D. Juan Gutiérrez, D. León Coro y D. Josef Bermudez?. á quienes por orden se abrió á la suerte cada uno de los tres tomos de la co lección de autores de D. Pablo Lozano, donde por largo espacio hicieron una libre versión á nuestro idioma con tanta destreza, que dejaron satisfechos á los Sres. examinadores y á…</t>
  </si>
  <si>
    <t>Corona, Juan</t>
  </si>
  <si>
    <t>Juan Corona</t>
  </si>
  <si>
    <t>…r A esta hacienda.de- la Caja,,en donde la guerrilla de dragones de mi regimiento, al mando del alférez gradeado de teniente;D, Ra fael Pretalia 5 hadogrado sorprender al titulado coronel Juan Corona, tan malo como antiguo en la presente rebelión, pues desde los principios abrazó aquel inicuo partido, siendo este el que entré otros infinitos excesos dio muerte al benemérito comandante de la villa, de León capitán D. Manuel de Ja Concha. Asimismo dio dicha…</t>
  </si>
  <si>
    <t>Coróne</t>
  </si>
  <si>
    <t>…en busca de los enemigos , y después de una mar cha de nueve leguas los hallé á las cuatro de la noche acampados en el Pepinal, eri donde y sin pérdida de un solo momentoordené al teniente Coróne! D. Francisco López , que sin disparar un tiro cayese sobre el campo enemigo con los 40 dragones y 25 infantes montados , lo que efectuó con tanta rapi dez que apenas dio lugar á la avanzada á que hiciese una descarga; pues tan to ejtá como todos los del grue…</t>
  </si>
  <si>
    <t>Coronel, Facundo</t>
  </si>
  <si>
    <t>Facundo Coronel</t>
  </si>
  <si>
    <t>…1 del corriente, una viña de viduño jaén, sita en el termino de la villa de ToTrelaguna, y parage llamado de la Corona, con 80 olivos de 24 aranzadas, linda á orien te con viña de D. Facundo Coronel, y al norte con camino qué va al Rebcllofó, tasada cada aranzada en 400 is. , y el todo, de ella enpóoa*; otra de igual viduño, sita</t>
  </si>
  <si>
    <t>…te de - dos viñas, la una de viduño jaén, sita en el término de la villa de Torrelaguna, y parage llamado dé la Corona, con 80 olivos, de 24 aranzadas, linda a oriente con viña de D. Facundo Coronel, y ai norte con camino qué va al Rebolioso, tasada ca da'afanzadá en 400 rs., y el iodo de ella en 9600; --y- la-otrar-de- igual viduño en el término de la villa de Uc.eda, y sitio que llaman la Cerrada, de nueve aranzadas, lin da á oriente con camino de Vald…</t>
  </si>
  <si>
    <t>Corral, Feliciano del</t>
  </si>
  <si>
    <t>Feliciano del Corral</t>
  </si>
  <si>
    <t>…abintestato de Vicente García Merino, vecino que fue de: esta corte, para que dentro del preciso y perentorio término de- 15 dias comparezcan en su juzgado y escribanía que egerce D. Feliciano del Corral, á deducir el que les5 asista; con apercibimiento que pasado sin haberlo hecho les parará el perjuicio qu« haya lugar.</t>
  </si>
  <si>
    <t>Corral, Feliciano' del</t>
  </si>
  <si>
    <t>Feliciano' del Corral</t>
  </si>
  <si>
    <t>…tienen .5808 pies, y están tasar dos en 19,876^. Quien quisiere hacer postura á dichas ;fincas juntas ó separabas acur; da ante eí nominado señor teniente y escribanía que egerce D. Feliciano' del Corral, que serán admitidas las que hiciere siendo arregladas., • vj,;&lt;v v 4 ^ Para cumplir la disposición testamentaria, de. Dona María; Xopez Barba se vegide en pública subasta una casa qiié la perteneció én la.Callé de Calatr'avá de ésta corteé señalada con el ñu…</t>
  </si>
  <si>
    <t>Correa, Lorenza</t>
  </si>
  <si>
    <t>Lorenza Correa</t>
  </si>
  <si>
    <t>…, individuos de la,orquesta y demas dependientes del coliseo' de la Cruz de esta muy heroica Villa, por producto de una función extraordinaria que han egecutado , 22428. Núm. 682. Doña Lorenza Correa 200. Núme ro 683. El limo Sr. deán y cabildo.de la catedral de Córdoba, en una letra girada á la vista contra S. i., 6©. Núm. 684. El Excmo. é limo. Sr. .arzobis po de Santiago, en una letra á la orden del depositario, 12©. Núm. 685. El cabildo de la I. R. ig…</t>
  </si>
  <si>
    <t>Correa, Ramón</t>
  </si>
  <si>
    <t>Ramón Correa</t>
  </si>
  <si>
    <t>…ntes de estas provincias^ „ Dios guarde á V. S. muchos años. Cuartel general del Nuevo paso del Rey sobre el Arauca inmediato al Marrereño 5 de Febrero de 1819. = Fa llió MorillQ(=Sr. D. Ramón Correa.” Asimismo el, comandante militar de la plaza de Calabozo ha recibido del egérciftf una carta, cuyo contenido es el siguiente: ; ,,E1 4 del corriente á las ocho de la mañana empezaron las tropas del Rey nuestro Señor á cruzar el Arauca por el paso de Merecure…</t>
  </si>
  <si>
    <t>Corregidor</t>
  </si>
  <si>
    <t>…e 30 diás,.copiados desde aquella fecha. En virtud de previdencia del Sr. D. Mati'uel Josef Rubio, del Consejo de S.kM.¿‘ oidor honorario de-ia-ÍÍ¿aLchancilIería de Valladolid , y teniente Corregidor de esta muy heroica villa, se cita , llama-y emplaza á las personas que se crean cop inmedia to parentesco á la difunta Doña Gregoria Quindós, viuda que era de D. Domingo Cuet, vecina de esta corte,' natural que fue de la ciudad de León, y derecho á ios biene…</t>
  </si>
  <si>
    <t>Corro, Francisca del</t>
  </si>
  <si>
    <t>Francisca del Corro</t>
  </si>
  <si>
    <t>…usa con arreglo á su naturaleza : últimamente se determinó que por cuanto el Lie. L&gt;. Juan Velarde Corro, prebendado déla Real colegiata de esta villa, hijo de D. isidro Velardé y Doña Francisca del Corro, y hermano de D. Isidro, D. Antonio y de Doña Francisca, casada con D. Juan de la Vega Noruega, vecino del lugar de Camíjanes, y de Doña María y Doña Catalina Velarde, en su testamento que otorgó en 15 de Octubre de 1672 ante Gonzalo Cortiguera, mandó la casa…</t>
  </si>
  <si>
    <t>Corsini</t>
  </si>
  <si>
    <t>…mperador de Austria en esta capital, de donde no saldrá hasta 1 f dias después de Pascua. Se cree que la Duquesa de Parma se volverá á sus estados en derechura desde Florencia. El príncipe Corsini ha hecho dimisión del empleo de senador de Roma, bajo el pretexto de habersé disminuido los privilegios anejos á este empleo, tales como los disfrutaba su antecesor el marques de Patrizy. Se rezela que las excavaciones del campo Vaccino, que nada notable han…</t>
  </si>
  <si>
    <t>Cortazar, Francisco</t>
  </si>
  <si>
    <t>Francisco Cortazar</t>
  </si>
  <si>
    <t>…D. Cayetano Gesarini, y alférez D. josef Frontera. ,,También recomiendo á V. S. muy particularmente a mi ayudante de órdenes el capitán de cazadores del provincial de Fernando vil D. Francisco Cortazar, y á mi ayudante de campo el teniente del regimiento de infantería de línea de Zaragoza D. Josef María de Casas. j, Asi como igualmente al capitán de Realistas D. Rafael Pozos, pues se gún antes he expuesto á V. S. me abrió campo para mis ulteriores combinaci…</t>
  </si>
  <si>
    <t>Cortazar, IX Luis</t>
  </si>
  <si>
    <t>IX Luis Cortazar</t>
  </si>
  <si>
    <t>…, que Jes concedí, y continuaron conmigo hasta Purépero, donde permanecí el 2 y 3, y el 4 marché hacia la hacienda del Fresno : del camino separé una)partida ai mando del téniedte coronel IX Luis Cortazar, qué afprehendióen-ei pueblo de Panindícuara un, rebelde ,:y^e mfi reunió; sin otríit novedadi ¡&lt;'•; ,,E1 5 continué á Cueneo, y en el camino aprehendí al titulado sargenta</t>
  </si>
  <si>
    <t>Cortazar, Luis</t>
  </si>
  <si>
    <t>Luis Cortazar</t>
  </si>
  <si>
    <t>…rebelde, y otro fue aprehendido. El 14 y 15 re corrí por el Cacalote y Fresno, y el 16 me dirigí á Purépero con una par-^ tida: el resto de la sección, á las órdenes del teniente coronel D. Luis Cortazar, marchó á Zacapo, y comenzó á fortificar aquel pueblo. El 18 me reuní ^en Zacapo, y el 20 me dirigí á Patzcuaro, y de alii he venido á esta ciudad conduciendo algunas cargas de algodón, y con objeto de escoltar la remesa de tabacos. ,,E1 resultado de esta exp…</t>
  </si>
  <si>
    <t>…en Páztcuaro se me reuniese la tropa de la sección de mí cargo que había marchado á Capula, y á las ocho de la noche marché con toda ella en tres trozos, mandados por el teniente coronel D. Luis Cortazar, capitán D. Juan Navarro y por mí, con dirección, á la hacienda de Tecacho, y en los cerros inmediatos logramos apoderarnos de 220 caballos del cabecilla Huerta, con que se remontaron los dragones y rea listas, quedando una parte de la presa y los deshechos á…</t>
  </si>
  <si>
    <t>…an á distinguirse todos los oficiales y tropa que tengo el honor de mandar , me obliga á reco mendarlos á V- S., haciendo una justa distinción de los tenientes coroneles graduados D. Luis Cortazar y D. Mariano Vargas, y capitanes D.. Juan Na varro y D, Anastasio Torrejon, el segundo y cuarto de realistas de Apan, el primero de dragones de Moneada, y el tercero de infantería de Valladclid. Merecen igual recomendación los, tenientes y alférez de dragones de Moneada D. Anton…</t>
  </si>
  <si>
    <t>Cortazar, Luis de</t>
  </si>
  <si>
    <t>Luis de Cortazar</t>
  </si>
  <si>
    <t>…V. E. ,, Dios guarde á V. E. muchos años. Reyes Marzo 3 de i,8i8.=:Excmo. Sr. = Luis Quintanar. = Excmo. Sr. mariscal de campo D. Josef de la Cruz.” Idem 24 de Junio. % Parte del capitán D. Luis de Cortazar al teniente coronel y comandante jD. Miguel Francisco Barragan. ,, Separado con los 70 caballos;que vmd. se sirvió pqqer.' á mi -cargo, avancé sobre la hacienda de (hiruarán , .como ymd me previno .yerbal mente,; y ,á inedia legua de esta aviste un .pelotón d…</t>
  </si>
  <si>
    <t>Cortés, Felipe</t>
  </si>
  <si>
    <t>Felipe Cortés</t>
  </si>
  <si>
    <t>…elantera calle pública que dicen dé la Panadería, en ia colación de Sari Cines, ante Diego dé S.' Martin á 13 dé Abril dé i543-! * 22. Carta de pago y recibo de dote que otorgó el Sr. D. Felipe Cortés! Bonifaz , contador de resultas de S. M.'/eh favor de la Sra¿ Doña juana Aber ta de Torres su muger , de 118,966 rs. de vn., fecha 29 de Abril de 1684. 23. Escritura de censo, impuesto y otorgado por la villa de Torrejon de Veíasco y vecinos particulares en f…</t>
  </si>
  <si>
    <t>Cortés, Miguel</t>
  </si>
  <si>
    <t>Miguel Cortés</t>
  </si>
  <si>
    <t>…individuos que me acompañaron, lo hago en particular de los tenientes graduados de San Carlos y Sierragorda D. Ramón Amandi y D.- Manuel Duque, y los cadetes de los mismos cuerpos D. Miguel Cortés y D. Benito Llata; al sargento de" Sierragorda, qiie por su'demasiada bizarría (salió .gravemente. herido de la ca*, beza; á los de igual clase Vicente Monroy y TiSurcio Rea , Vicente Morenoy D. Mariano Álvarado por lá cpnstante decisiqn con que se batierondando, egémplo á la…</t>
  </si>
  <si>
    <t>Coscojuela, Tomas</t>
  </si>
  <si>
    <t>Tomas Coscojuela</t>
  </si>
  <si>
    <t>' 4$o . . pronunciando su Oración fúnebre el benemérito racionero cara de S. Miguel D. Tomas Coscojuela, quien hizo, un fiel retrato de las grandes virtudes que^ adornaban el alma de tan amable. Reina , al paso que lamentó su pérdida sin sucesión del deseado Fernando vil. t , Como posteriormente se dignó también S. M. comunicar al ayuntamiento el fallecimiento…</t>
  </si>
  <si>
    <t>Cosío, Josef Campillo y</t>
  </si>
  <si>
    <t>Josef Campillo y Cosío</t>
  </si>
  <si>
    <t>…enterios, ó.0 El libro tercero de las apuntaciones para la historia de los tres últimos Soberanos de la dinastía austriaca en España. 7.0 Tratado de loa intereses de la Europa por D. Josef Campillo y Cosío, rr En la misma librería se adir miten suscripciones al tomo 8.° y siguientes, y se haHan de venta los números, suel tos , asi como en las de Villa, plazuela de Stó. Domingo, y de Vizcaíno, calle de la Concepciqp Gerónima. * Noches, lúgubres dei coronel D, Jo…</t>
  </si>
  <si>
    <t>Cosío, Vicente Simón González de</t>
  </si>
  <si>
    <t>Vicente Simón González de Cosío</t>
  </si>
  <si>
    <t>…glesia metropolitana de Guatemala al Dr. D. Antonio Croque*; y para la dignidad de arcediano de la catedral de Durango, vacante por fallecimiento de D. Josef ManueL de Esquive!, á D. Vicente Simón González de Cosío. Por Real resolución de 31 de Diciembre de! año próximo pasado, á con sulta del. Consejo Supremo de la Guerra, se ha servido S. M. conceder á Don Diego Carrero &gt; natural de la villa de: Villaiba de Alcor, diócesis de Sevilla, «el fuero militar y uso de unifor…</t>
  </si>
  <si>
    <t>…i ctri. o i&gt; ir oficio. El Rey nuestro Señor se ha dignado nombrar para la dignidad de chan tre de la santa iglesia catedral de Durango» en Nueva-Vizcaya, vacante por promoción de D. Vicente Simón González de Cosío á la de arcediano de la misma, á D. Francisco Juan de Pazos: para la canongía penitenciaria de la iglesia catedral de Sta. Marta á D. Francisco Timoteo de Ribera; y para la canongía doctoral de la Sta. iglesia de Comayagua al Dr. D. Manuel López de la Plata.…</t>
  </si>
  <si>
    <t>Costa, Dqmingo Araujo</t>
  </si>
  <si>
    <t>Dqmingo Araujo Costa</t>
  </si>
  <si>
    <t>…de.? Julio ultjmo, 901}: qpe;|m^ pa^d el que le había dirigido el teniente de. artille ría D. Luis Rodríguez * solicitando como fiscal de una causa que está forman do en Málaga á D. Dqmingo Araujo Costa, que se reciba declaración sobre varios particulares, á Di. Ignacio Chano, oficial archivero del departamento de Ipdias déda&lt; secretaría de Estado y del Despacho de la Guerra de, mi interino^ cargo ; y S. M. erj vista dé lo resuelto en la Real drdeii de 3 de…</t>
  </si>
  <si>
    <t>Cowley</t>
  </si>
  <si>
    <t>…pitán D. Francisco Sañudo, comandante del punto de Papantía, deseoso de la pacificación de estos terrenos, y de cooperar en dios, me auxi* lio con 510 hombres armados al cargo del teniente Cowley, y lo participo á V. S. para su conocimiento. ,,Dios guarde á V. S. muchos años. Campo de Texquitipan Mayo i6 de x8:i 8. = Josef María Luvian. =Sr. coronel y comandante general D. Manuel de la Concha.” Madrid de Marzo. Habiendo mandado el Rey nuestro Señor qu…</t>
  </si>
  <si>
    <t>Cris</t>
  </si>
  <si>
    <t>…- .. ; ....... r1"' &gt; * Por’providencia del Sr, ’D. Máñüel Josef Rubio , del Consejo de S. M., teniente corregidor de ésta muy. heroica villa, dada por la escribanía del número de D. Cris tóbal déVicuña, se ha. manejado sacar á' publica subasta una casa sita en esta corte.,, y su calle de Buena V;istavñám: 5 , maní, que.tiene de sitia.-.ryisf pies^supeéfreíales, tasadá éh 13 de Noviérñbré dé 1794 en la -¿antida’d dé *7,3 55 rs. vn. , pa-., 1*#…</t>
  </si>
  <si>
    <t>Cristiano</t>
  </si>
  <si>
    <t>…stouches, cirujano mayor del Real cuerpo de ingenieros, ha pre sentado á la facultad médica de esta ciudad un escrito probando la eficacia, del muríate triple de oro y de sosa del doctor Cristiano para:curar lá sífilis de primera infección, don un informe de Mr. Delafrield,' médico del hospital de-Nueva-Yorck , por. él cual consta haberse aplicado el mismo remedio á 81en&amp;rmós dé cOptagid^pr.imitivodcon^el mejor éxito; y sin qüe se experimen- • tasen ma…</t>
  </si>
  <si>
    <t>Cristina, Remigio</t>
  </si>
  <si>
    <t>Remigio Cristina</t>
  </si>
  <si>
    <t>590</t>
  </si>
  <si>
    <t>…á D. Romualdo Gil, alcalde de dicha villa. ", ^ 1 En fines del año de 1808 entre otros quintos que salieron de la villa de Ciiervá para el regimiento Imperiales de Toledo fue uno D. Remigio Cristina, ordenado de primeras órdenes: después se supo que en el año siguiente concurrió al ataque de Medellin , y que estuvo en el hospital de Llerena, ignorándose si antes ó después del ata qué dicho. Es de bastante interes á los parientes qué tiene en dicha villa…</t>
  </si>
  <si>
    <t>Cristó</t>
  </si>
  <si>
    <t>708</t>
  </si>
  <si>
    <t>…de egército en premió de los servi cios que ha contraído en las boticas militares de campaña durante la última guerra. Por otra de 24 det mismo mes se ha servido S. M. conceder a D. Cristó bal Asori, cirujano en la villa de Biar, partido de Jijona, en el reinó de Valencia, y á D. Manuel Rodríguez Villalpando, cirujano en la ciudad de Ubeda, el fuero militar yuso de uniforme de practicantes de cirugía de egército. ' Y por otra del mismo dia se h…</t>
  </si>
  <si>
    <t>…ico D. Josef García Arteche , y per el orden de las respectivas censurasj á saber: en la clase de gramática latina li bros facultativos á D. Manuel Martinez, D. Servando Aíarañon, D. Cristó bal Rubio, D. Celso PJanzon ,SD. Fernando Perez de Rozas y Campuzano y D. Domingo Díaz: en la de matemáticas puras medallas acuñadas á pro pósito á D. Santiago Cocolina, y al cadete de artillería D. Pedro OJano: en da de dibujo una .medalla de oro á D. Benito…</t>
  </si>
  <si>
    <t>Cristóbal</t>
  </si>
  <si>
    <t>…mudez, 6 espadas, 54 fusiles, 30 morriones y de 28 á 30 carrucheras. Al capitán D. Ramón Anes se le debe el todo de este dia; y yo recomiendo á V, S. por su infórme á su herxñano D. Cristóbal, de igual clase, que contri-</t>
  </si>
  <si>
    <t>…, Xímenez tolano,, y camino de Yeéla p’aráxo^aVra en medio, y por el norte ^con^os. montes . Quien quisiere hacer postu ra añuda ante, dicho señor juez y escribanía, del numero de D. Cristóbal dé Vicuña, que se admitirán siendo arreglarás. ' La Real jünta económica‘gubernativa de las. encomiendas vacantes de la orden de S. Juan ha señalado él día r 3 dél próxi'mb tnes ¿e Mayo , á las 1 a de su mañana, en la .posada del Sr. D. ^Francisco Xaviet déDc…</t>
  </si>
  <si>
    <t>749</t>
  </si>
  <si>
    <t>…de todos ios interesados. Por providencia del Sr. D. Manuel Josef Rubio , dél Consejo de S. M. , teniente de-corregidor -de -estamuy heroica villa, por la escribanía de numero de D. Cristóbal</t>
  </si>
  <si>
    <t>…prender su viage dispuso que se hiciesen algunas mudanzas en el egército., en virtud de las cuales se lían disuelto las milicias. GRAN BRETAÑA, Londres 23 de Setiembre. : El negro.rey Cristóbal ha publicado' un decreto, por el cuabdeclara que no se recibirá en el imperio de Haití á los negros fugitivos de ningunas de Jjas islas Antillas, y mucho menos á los de las que pertenecen á S. M. Británica. .¡ Parece que el viage de Mr. Canning tiene. por obj…</t>
  </si>
  <si>
    <t>Croque, Antonio</t>
  </si>
  <si>
    <t>Antonio Croque</t>
  </si>
  <si>
    <t>…ía penitenciaria de la santa iglesia catedral de Oajaca á Don Francisco María Ramírez, de Aguila*: para la canongía magistral de la santa iglesia metropolitana de Guatemala al Dr. D. Antonio Croque*; y para la dignidad de arcediano de la catedral de Durango, vacante por fallecimiento de D. Josef ManueL de Esquive!, á D. Vicente Simón González de Cosío. Por Real resolución de 31 de Diciembre de! año próximo pasado, á con sulta del. Consejo Supremo de la…</t>
  </si>
  <si>
    <t>Cruces, Juan Josef</t>
  </si>
  <si>
    <t>Juan Josef Cruces</t>
  </si>
  <si>
    <t>…Ramos, hermano del anterior. Fue confirmado en el empleo de capitán de caballería; se le dio la nobleza personal; la medalla de oro, y as cendió al grado de Ttememe* coronel. * ' D. Juan Josef Cruces , natural del Pao. $e le concedió la nobleza perso nal; la medalla de oro, y el grado de teniente coronel; ¡ ' D. Julián Nieves, natural de S. Francisco de Tiznados. Fue confirmado en su empleo de capitán; obtuvo la nobleza personal, y ascendió al grado de íe…</t>
  </si>
  <si>
    <t>Cu, Bartolomé</t>
  </si>
  <si>
    <t>Bartolomé Cu</t>
  </si>
  <si>
    <t>…n motivo dehábéf separado el virey que füe de ese reino mar qués de la Concordia^ con acuéirdpty ptevio voto consultivo de la Real au diencia de Lima) del gobierno de Guayaquil al brigadier D. Bartolomé Cu calón, y de haberse opuesto posteriormente á darle posesión de la presidencia del Cuzco, para la cual fue nombrado: y S. M., conformándose con lo qüe •acerca de esté‘asunto han expuesto por separado los Consejos supremos de Guerra é Indias, ha tenido á bien d…</t>
  </si>
  <si>
    <t>Cuanda, Francisco Xavier de</t>
  </si>
  <si>
    <t>Francisco Xavier de Cuanda</t>
  </si>
  <si>
    <t>…s, contados des de 13 de Octubre, á legitimar y iiquidar sus créditos antedos síndicos nombrados al efecto.en junta general ele 19 de Setiembre próximo pasado, en la habitación de Don Francisco Xavier de Cuanda, calle del Gato á la de la Cruz, casa nueva, encima de ía tienda de estampas, cuaho tercero , desde las nueve á una de la mañana ; en Ja in* telígencia que de.nO verificarlo les parará el perjuicio que haya lugar, conforme á lo acordadoMen la.misma junta * ~…</t>
  </si>
  <si>
    <t>Cue, María Francisca</t>
  </si>
  <si>
    <t>María Francisca Cue</t>
  </si>
  <si>
    <t>…onsejo de las Indias 2©. Núm. 305. D; Blas Cuadrado 120. Nú mero 306. D. Eugenio Luzon 20. Núm. 307. Los señores cuestores del cuar tel deS. Francisco 1572 rs. y iórnrs. Núm. 308. Doña María Francisca Cue11a 20. Núm. 309. Los señores cuestores del cuartel de Palacio 848 rs. y 14 -mrs. Núm. 310. Los señores cuestbres del cuartel de Avapies 600. Núm 311. .Doña M. L. 40. Núm. 312. El limo. Sr. obispo de Sigüenza 6©. Núm. 313. Doña M. G. C. 20. Núm. 314. C. M. 1©.…</t>
  </si>
  <si>
    <t>Cuervo, Juan Antonio</t>
  </si>
  <si>
    <t>Juan Antonio Cuervo</t>
  </si>
  <si>
    <t>…ero que egerce E&gt;. Antonio Villa y Fernandez, se vende una casa en esta córte, calle del Aguila, num. 2 , manz; 1 io, que tiene de sitio 2437 pies , y fue tasada por el arquitecto D. Juan Antonio Cuervo!en 27 de Mayo de 1812 en 60,5 24 rs. vn. Quien quisiere hacer postura acuda ante dicho señor tenien-</t>
  </si>
  <si>
    <t>…flumero que egerce D. Antonio Villa y Fernandez, se vende una casa en esta corte, caíle del Aguila, núm. 2, manz. no, que tiene de sitio 2437 pies, y fue tasada por el arquitecto D. Juan Antonio Cuervo en 27 de Mayo de 1812 en. 66,524 rs., y dan por ella 40,200 rs. en metálico. Quien quisiere mejorar esta pos tura acuda ante dicho señor y citada escribanía; en inteligencia que para su remate está señalado el día tg dei corriente, á las 1 2 de su mañana, en…</t>
  </si>
  <si>
    <t>Cuervo, Júañ Bautista</t>
  </si>
  <si>
    <t>Júañ Bautista Cuervo</t>
  </si>
  <si>
    <t>…Blas Menen— dez , 'dueño actualmente de ella, y la cual perteneció antes á la viuda de D. Tuís García dé Lorgoria Doña Josefa Cordilla y Rodríguez: se ha tasado por el arqui tecto D. Júañ Bautista Cuervo en la cantidad de 17, *45 rs. , de cuya suma ha de rebajarse la carga Real de aposento, farol y sereno: qiéén qimiéfe hacer postura acu da ante dicho señor y pitada escribanía, que se le admitirá la que hiciere siendo ar reglada. Ante el Sr. D. Manuel Fernand…</t>
  </si>
  <si>
    <t>Cuet, Domingo</t>
  </si>
  <si>
    <t>Domingo Cuet</t>
  </si>
  <si>
    <t>…teniente Corregidor de esta muy heroica villa, se cita , llama-y emplaza á las personas que se crean cop inmedia to parentesco á la difunta Doña Gregoria Quindós, viuda que era de D. Domingo Cuet, vecina de esta corte,' natural que fue de la ciudad de León, y derecho á ios bieney, caudal y efectos que han quedado por su muerte intestada, acaecida en 17 de Mayo, á fin de qué ¿ri el término preciso y\perentorio' de 30 dias¿ contados desde la ‘' publicac…</t>
  </si>
  <si>
    <t>Cueto, Francisco</t>
  </si>
  <si>
    <t>Francisco Cueto</t>
  </si>
  <si>
    <t>…y nueve, soldados heridos; de, los Cazadores montados .un herido y dos dé ís parrida dél país. ,, De los emigrados que se me presentaron solo han llegado á este D. Fé lix Horno y D. Francisco Cueto ,; pues los demas luego que vieron lá reúníoa de los enemigos, y oyeron que la plaza estaba por estos, se fugaron creídos qjie la suerte de mi expedición seria. desgraciada. ,, También tengo en calidad de presos un fraile francisco llamado Fr. Mel chor Castro…</t>
  </si>
  <si>
    <t>Cuevas, Juanf Antonio</t>
  </si>
  <si>
    <t>Juanf Antonio Cuevas</t>
  </si>
  <si>
    <t>…ebastian de está- villa, el R. P. Prior del insinuado convento, y los señores marqueses-de Auñóri , en junta celebrada el día 25 de. Agosto de este año, se cita, llama y emplaza á D. Juanf Antonio Cuevas, presbítero, y-capellán de la capellanía fundada en 1a-parroquia de S. Sebastian de la muy he rósea villa de Ma drid, y á D. Juan Miguel de Robles, capellán de la capellanía fundada en el con vento de S. Felipa el Real do la referida muy heroica.villa de Madr…</t>
  </si>
  <si>
    <t>Curdo, Antonio</t>
  </si>
  <si>
    <t>Antonio Curdo</t>
  </si>
  <si>
    <t>…audiencia de dicho señor por medio de procurador con poder bas tante, y espirado sin hacerlo se dará á los autos el curso que corresponda y les parará el perjuicio que haya lugar. D. Antonio Curdo ó sus.herederos, en caso de fallecimiento, se presentarán i D. Domingo Antonio López, qiié vive calle de Fuencarral, frente á la casa de Astrarena, tienda de géneros ultramiríndi, qiié tiene que comunicarles noticias sobre al gunos intereses que les correspon…</t>
  </si>
  <si>
    <t>Cuvíer</t>
  </si>
  <si>
    <t>…s asientos; pero es indispensable que pre senten los títulos. ; . El dia 23 de este mes abrió solemnemente sus estudios la facultad de me dicina de París, presidiendo la sesión el barón Cuvíer , consejero de Estado. El ;€atedrático Mr. JLoyer Colard pronunció un discurso sobreestá cuestión: ¿En qué consisten los verdaderos adelantamientos de la medicina y cuales son sus caraciéres distintivos ? El discurso está lleno de ideas excelentes sobre el 'c…</t>
  </si>
  <si>
    <t>Cuvier</t>
  </si>
  <si>
    <t>…caracteres dé la mas moderna clasificación, y últimamente demostrará, el sistema zoológico hasta determinar las especies en particular, todo según los últimos descubrímientqs dei caballero Cuvier. Lo que se hace saber al público para su inteligencia. • Continuación de las Jincas que con Real facultad se venden en la tilia de Villuviciosa y su término. y -; . :l Un pedazo de tierra en término de Mistóles, en el cerro de, las Nieves, de;ta-&gt;' her 3 fane…</t>
  </si>
  <si>
    <t>Czernitschef</t>
  </si>
  <si>
    <t>…icen será tan corta la niansion de S. M. en esta capital, que saldrá el 21 para Brunn. Ya han llegado el conde de^Golowkin, ministro de Rusia cerca de nuestra corte, y el teniente general Czernitschef y el conde de Waroff, ayudantes generales de S. M. I. SUIZA. Lausana 1 (T de^ Diciembre. El consejo de Estado de Ginebra ha autorizado en aquel cantón la forma ción de una sociedad denominada Compañía, de seguros marítimos. El domingo pasado llego á esta ciud…</t>
  </si>
  <si>
    <t>Czoriek, Mr.de</t>
  </si>
  <si>
    <t>Mr.de Czoriek</t>
  </si>
  <si>
    <t>…ayer dicen que costó la vida á algunos huíanos. Ayer fue el Emperador de.Rusia al cuartel del regimiento de su nombre, le mandó formar, y le pasó revista: y habiendo sabido que el coronel Mr.de Czoriek estaba enfermo, fue'á hacerle una visita á su casa: acompañaban á S. M. I el Príncipe Felipe de Hesse-Homburgo, el príncipe de Litchenstein, el’duque de Casal-nza y otros generales. El duque deCasalanza es siempre muy bien recibido del Emperador. Dicen que el…</t>
  </si>
  <si>
    <t>D, B.</t>
  </si>
  <si>
    <t>B. D</t>
  </si>
  <si>
    <t>…ela óo. Núm. 64. D. Gregorio ViiUvieja, cura de S. Josef de Madrid, por limosnas quede han dado dos feligreses suyos, 10c. Núm. 65 Miguel Fernandez, aguador de S. M., 20. Núm. 66. D. B. D. 300. Núm. 67. D. Pedro Sedaño 200. Núm. 68 D. Cayetano Bautista 25. Núm. 69. Don Santiago Antonio de Unza 80. Núm. 70. D. A. E. 70. Núm. 71. D. Domin go Riesco 60, Núm. 72. El Excmo. Sr. D. Joaquín Blake ico. Núm. 73. Don M. B. 60. Núm. 74, D. N. C. 320. Núm.…</t>
  </si>
  <si>
    <t>D, C- V.</t>
  </si>
  <si>
    <t>C- V. D</t>
  </si>
  <si>
    <t>…ro 366. D. C. Al. F. 320. Núm. 367. D». J. C. 40. Núm. 368. E. C. D. R. S. 320. Núm. 369 D. Y. S. 20 Núm. 370. D. A. R. de P. 40. Núm. 371, D. R. R., del comercio, 100. Núm. 372. D. C- V. D. 200. Núm. 373. Don J. D. V. 40. Núm. 374. D. M. G. 104. Núm. 375. El Excmo Sr. emba jador de Portugal 2©. Núm. 376. D' N. 320. Núm. 377. Doña M. C. M. 200. Núm. 378. D. N. 100. Num. 379* IL A.. U. 66 rs. y 18 mrs. Aíume— ro 380. D. N. 60. Núm. 381. Doña Y. R.…</t>
  </si>
  <si>
    <t>D, Infante</t>
  </si>
  <si>
    <t>Infante D</t>
  </si>
  <si>
    <t>…tos que han de producid Jas bondades que dispensa el mas amado de los Reyes á estas corporaciones patrióticas, y el impulso que se ha dignado darles poniendo á su frente al Sermo. Sr. Infante D;&gt;Francisco de Paula; y entonces, mediante la coope~</t>
  </si>
  <si>
    <t>…Seúor ; D. Rafael Finos, prímer.jeahalljerízo dé la Reln a. nuestra 'Señora *, marques ríe -Mon salud, t^nie&amp;te gejiexal .dé Jos, Reales egércitos, y primer caballerizo del Sermo. Sr. Infante D.;Carlos,; marqués de Casa-Maarid , primer .caballerizo del -Sermo. Sr; Io&amp;ote D, Fijangisco de Paula ; D. Josef de Palafox y Melci, .cáballeco gran oroz ríe las ,orf-? denesríe S. Fe mandos y S.&gt;rHerjnenegildo, .y oapi«an general rde ¿Ips Jleaies&gt; egércitos; D…</t>
  </si>
  <si>
    <t>D, J. G.</t>
  </si>
  <si>
    <t>J. G. D</t>
  </si>
  <si>
    <t>…0. Núm. 378. D. N. 100. Num. 379* IL A.. U. 66 rs. y 18 mrs. Aíume— ro 380. D. N. 60. Núm. 381. Doña Y. R. 22 rs. y 4 mrs. Núm. 382. El Excmo. Sr. duque de Montemar 400. Núm. 383. D. J. G. D. 40. Núm. 384. D. L. A. 100. Asimismo se ha suscrito: Núm. 36. D. Francisco Perez Gaya , maestro de capilla de Avila, durante la epidemia, con 30 reales mensuales; y por el mismo tiempo cede su sobrina Segunda Hernández, niña de cinco años, los 20 reales mensu…</t>
  </si>
  <si>
    <t>D, Juan Béa y</t>
  </si>
  <si>
    <t>Juan Béa y D</t>
  </si>
  <si>
    <t>…y ícóhsules -su deVóluéión en ; ios5 términos expresádos en eb articuló 3.°- Actto continuo cómpatecierón pérsóñalmente én la junta D. Francisco Castéjóit, -D.i Jóaqúiní -Ferró, ;D. Juan Béa y D¡ Francisco Campos; y hábiéndósétefe leído uno á uno todos los artículos mencionados, y del mismo modo'lá tari fa de'flétes1, expusieron ser -lo$ mismos que habían convenido con los comi sionados, y estap conformes y corrientes con lo que en ellos se contiene,…</t>
  </si>
  <si>
    <t>D, Ramón Amandi y</t>
  </si>
  <si>
    <t>Ramón Amandi y D</t>
  </si>
  <si>
    <t>…dos. * * ,1 „ Después de,recomendar á vmd. muy especialmente todos, los individuos que me acompañaron, lo hago en particular de los tenientes graduados de San Carlos y Sierragorda D. Ramón Amandi y D.- Manuel Duque, y los cadetes de los mismos cuerpos D. Miguel Cortés y D. Benito Llata; al sargento de" Sierragorda, qiie por su'demasiada bizarría (salió .gravemente. herido de la ca*, beza; á los de igual clase Vicente Monroy y TiSurcio Rea , Vicente Morenoy…</t>
  </si>
  <si>
    <t>Daguer, Juan Pedro</t>
  </si>
  <si>
    <t>Juan Pedro Daguer</t>
  </si>
  <si>
    <t>…braban las cantidades que en ellas se suponían giradas. Noticioso el tribunal de haberse verificado esta perversa operación en Lo groño con la casa de comercio de aquella plaza de D. Juan Pedro Daguer, tomo las disposiciones oportunas para evitar cualquiera otra sorpresa; y en efecto-en 19 del pasado se presentó én la cosa de comercio de la misma, ti tulada Vallarin Buisan.y hermanos, cierto sugeto que dijo llamarse D. Joa quín Morales, quien presentó una…</t>
  </si>
  <si>
    <t>Dará</t>
  </si>
  <si>
    <t>…ques de Áligre; Idem ; marques de Catelan, ídem; vizconde de, Moritmórenci-, ídem; conde Chapral; Idem ; barón Pasquier, ministro de Estadqymiembro de la. Cámaré de los Diputados; conde Dará, Par de Francia; tofideMbliieh ;idcm; conde Saint-Aulairey miembro de la Cámara de los Diputados; conde Bigot de Preameneu, miembro de la comisión de los hospicios; Mr. Roy, ministro de Estado, miembro de laCámara de los Dipurádos; barón Délaítre, miem bro de…</t>
  </si>
  <si>
    <t>Darrac, Francisco de Laiglesia y</t>
  </si>
  <si>
    <t>Francisco de Laiglesia y Darrac</t>
  </si>
  <si>
    <t>…mecánica. Con varios suplementos sobre la belleza del caballo, su edad, hechura única de Ja silla y brida, método de cuidarle, herrarle, y conocer sus enfermedades exteriores: por D. Francisco de Laiglesia y Darrac, caballero de la Real y distinguida orden de Cárlos m. Él método, claridad y solidez que brillan en esta obra le.ha granjeado sin gular aprecio entre los inteligentes, como la mas propia para el estudio de que trata: acompáñanla 20 láminas finas: un tomo en 4…</t>
  </si>
  <si>
    <t>Darrac, Francisco de Laiglesla y</t>
  </si>
  <si>
    <t>Francisco de Laiglesla y Darrac</t>
  </si>
  <si>
    <t>…e la obra. ' , . •^ Elementos de equitación militar para.el uso de la caballería española, ;.escritos para los alumnos de-la Real escuela militar de equitación de esta, corte, por Don Francisco de Laiglesla y Darrac » caballero de -la Real y distinguida orden española de Carlos ni, su actual director. El autor lia procurado reunir en estos Elementos el estudio de todos aquellos conocimientos que son indispensables á un completo oficial de caballería. Y despojando la equi…</t>
  </si>
  <si>
    <t>Daubié</t>
  </si>
  <si>
    <t>…ochp caballos, en eí éUal iba él embajador Mirza-Abdul-Kassan-Kan, acompañado del duque de la Vauguyon, Par de Francia, del marques de Brezé , primer maestro de ceremonias, y del barón Daubié, gentilhombre de Cámara. El ultimo coche, que era el del embajador, le ocupaba su secretario, quien llevaba en la mafnó’ una vara de plata. Iban á los lados dé los coches varios Caballerizos del Rey y de los.Príncipes, y cerraba la marcha un piquete de granad…</t>
  </si>
  <si>
    <t>Dávalos, Pedro</t>
  </si>
  <si>
    <t>Pedro Dávalos</t>
  </si>
  <si>
    <t>…e Noviembre. El dia 4 de Noviembre tuvieron el honor de felicitar á S. M. con motivo de su augusto enlace, á nombre de la santa y Real hermandad vieja de,Tóle-7 do, él Excmo. Sr.' D. Pedro Dávalos, ^mariscal de campo de los Reales egércitos, y caballero gran cruz de Ja militar de S. Hermenegildo ; D. Manuel Orgaz, de la Real y distinguida de Carlos m; D; Domingo Talceto, regidor perpetuo de dicha ciudad ; D. Tomas Linacero y Fuertes, intendente honora…</t>
  </si>
  <si>
    <t>Daveuton</t>
  </si>
  <si>
    <t>…atisfactorias. El general sír W. G. Kels había tomado por asalto la fortaleza deRaince,lo que precisó al Gobier no de Sawunt-Raince á concluir un tratado de paz: por otra parte el general Daveuton se había apoderado de la fortaleza de Asscerga, que hasta ahora se consideraba inexpugnable. Idem 30. Ha llegado de Italia en estos últimos dias un gentilhombre de la Princesa de Gáles con orden de S. A. R. para mandar hacer á toda priesa varias obras, y entr…</t>
  </si>
  <si>
    <t>Dayovich, Juan Josef</t>
  </si>
  <si>
    <t>Juan Josef Dayovich</t>
  </si>
  <si>
    <t>…te mes por ma ñana y tarde. Dióse principio por un discurso alusivo al objeto , que teyó el primer maestro director D. Cayetano Fernandez Villamil. Fueron examinados en aritmética D. Juan Josef Dayovich , D. Angel Urzaiz, D. Bartolomé Martine?, D. Juan Antonio Novo, D. Alejandro Rodríguez , D. Francisco Santos, D. Francisco Calderón y D. Antonio Blanco. E11 geometría elemental el dicho D. Bartolomé Martínez, D. Manuel Barbet, D. Mañuél Díaz,'O. Ramón Pepn ,…</t>
  </si>
  <si>
    <t>Daza, Hermenegildo</t>
  </si>
  <si>
    <t>Hermenegildo Daza</t>
  </si>
  <si>
    <t>…dió á capitán de caballería. .* ■. ■ • .-;(í t .-f ... . Mayordomo del hato de Palacios, D« Josef María Gomez&gt; / Idem deLde Pelen. T&gt;. Josef Elias Megias. • Idem del de S. Miguel. D. Hermenegildo Daza, vecinos del Sombrero y Barbacoas, y han obtenida la nobleza personal* ~ ....... . . ...... Escuadrones^ del Rey. D. Apólinario Alberto. La nobleza!personal. • Captan de milicias. D. Josef Alvarez , natural de Sv Carlos. Xa nobleza personal. '= ■■■ — * Campo…</t>
  </si>
  <si>
    <t>Decazes</t>
  </si>
  <si>
    <t>…los caballeros y las damas de su comitiva: en seguida fue conducido S. M. I. á la habitación «ue le estaba destinada. ‘ FRANCIA. París 19 de A¡?ril. . ' El2 ministro del-Interior conde Decazes ha presentado al Rey un infor me sobre el estado actual de las cárceles del reino-, del cual se han extrae-1 tado los pasases siguientes: ,,Señor: Siempre ha merecido particular atención á la paternal solicitud? de V. M. el estado de las cárceles del reino. ,…</t>
  </si>
  <si>
    <t>…ondres, para el ministerio de Estado y del despacho de la Guerra; á Mr. Roy, individuo de la Cámara de los Diputados, para la secretaría de Estado y del despacho de Hacienda, y al conde Decazes, ministro de Estado y del despacho del Interior, para la pre sidencia del Consejo de los ministros. ESPAÑA. Madrid i.° de Diciembre. El día 13 del presente mes tuvieron la honra de felicitar á S. M. por su augusto enlace á nombre de la M. N. y M. L. provincia…</t>
  </si>
  <si>
    <t>…frecuentes egemplos los afi cionados á las antigüedades, aun los de mas elevada gerarquía. FRANCIA. V ' . . . " . ( ; París 12 de Noviembre, Ayer fueron presentados al Rey por el conde Decazes los nuevos minis tros del Interior y de Hacienda señores barón Pasquier y Roy, quienes hi-</t>
  </si>
  <si>
    <t>Decazes’para</t>
  </si>
  <si>
    <t>…onsecuencia- ha nombrado S. M. al marques Desole, teniente general y par de Francia jipara la presidencia del Consejo de los ministros y el ministe rio de Negocios extrangeros; al conde Decazes’para eLministerio del Interior? á Mr. de Serré, presidente del tribunal de Colmar, y miembro de la Cámara de los diputados, para guarda-sellos; al barón Portal, individuo de la Cá mara de los diputados, y consejero de Estado, para el ministerio de Marinay y al bar…</t>
  </si>
  <si>
    <t>Degérando</t>
  </si>
  <si>
    <t>…a mas adecuado para que: sirva de texto á los catedráticos de esta ciencia en los establecimientos dé instrucción,«públi ca, y nombra:por ¡jueces del concurro al marqués: Garñier, barón Degérando , y los señores Say , Le~Sur, Ganiih y Sismonde-Sismondi. Los? escritos que aspiren al premio se escribirán en francés, italiano ó ingles, y se dirigi rán ai! Barón Degerando ; individuo del Instituto en parís, acompañados de nn papel cenado, en el cual se po…</t>
  </si>
  <si>
    <t>Dejeau</t>
  </si>
  <si>
    <t>302</t>
  </si>
  <si>
    <t>/ 302 que dé Dantzlck-, al condé Darú, al tendente general Dubrgtón, al teniente general vizconde Dijeon, al conde de Arjuzon, al conde Dejeau, al marques Dampierre* á nuestro primo el mariscal príncipe de Eckmiihl, á nuestro pri mó el duque de Esclignac, al conde de ... ........... , al conde Germain, pre fecto del departamento del Sena y del Marne, al conde Germi ¡y, prefecto del departamento del…</t>
  </si>
  <si>
    <t>Délaítre</t>
  </si>
  <si>
    <t>…lairey miembro de la Cámara de los Diputados; conde Bigot de Preameneu, miembro de la comisión de los hospicios; Mr. Roy, ministro de Estado, miembro de laCámara de los Dipurádos; barón Délaítre, miem bro de la Cámara, de los Diputados5 el dbate Desjardins, cura de las misiones extrangeras; Giiizot , -consejero de Estado, director ¡general del gobierno ■de los * consejos ¡y-"dé los-departamentos; Alejandro dd Ja^BórdeV magistrado; 'Cortee ycoftséjero…</t>
  </si>
  <si>
    <t>Delassert, Benjamín</t>
  </si>
  <si>
    <t>Benjamín Delassert</t>
  </si>
  <si>
    <t>…consejo &lt;5 junta general de las cárceles &lt;son los 'siguientes': . ■ t- ¡ - í :,..j El duque de la Rochefoucauld, Par de Francia; el mariscal Suchet, ídem; duque deBroglie, ídem ; barón Benjamín Delassert, miembro de la Cámara de los Diputados; marques de Marbois, Par de Francia; marques de Áligre; Idem ; marques de Catelan, ídem; vizconde de, Moritmórenci-, ídem; conde Chapral; Idem ; barón Pasquier, ministro de Estadqymiembro de la. Cámaré de los Diputados;…</t>
  </si>
  <si>
    <t>Delessert</t>
  </si>
  <si>
    <t>…és se ha sabido que un destacamento de tropas españolas habia ata cado y: dispersado completamente los restos del establecimiento.’* 1 í''Idem go. i, CAMARA DB LOS DIPUTADOS. ' El barón Delessert propuso días pasados que se suplicase al Rey tuviese la bondad 4e (presentar á ambas Cámaras un proyecto de ley para decretar á fa vor deL duqúé de Richélieu un premio nacional por los servicios que habia díechoí á:; la Ipatriai, y señaladamente en la . negoc…</t>
  </si>
  <si>
    <t>…ssetv doctor médico. - Los duqués de la Rochefoucauld y de Broglie, mariscal Suchet, marques de Aligre, vizcoiíde de Montmorenci, condes Chaptal &lt;y Darú, barón Pasquier, Mr. Roy , barón Delessert, conde Bigot de Preameneu, y Cottee, en unión de los prefectos de policía y del departamento; el primer presidente y el procurador general dehtribunal de primera Instancia del Sena; forman el con cejo lólpiwta partículár de gobierno dé las «cárcelesde"París,…</t>
  </si>
  <si>
    <t>Delgado, Francisco</t>
  </si>
  <si>
    <t>Francisco Delgado</t>
  </si>
  <si>
    <t>…embre de 1819. , . Comisionado el tribunal déla capitanía general de Castilla la Nueva de Real orden para la formación de la causa del comisario de guerra de los Rea les egércitos D. Francisco Delgado, sobre las providencias de su jubilación, se ha ejecutoriado en ella sentencia, que entre otras cosas mando lo siguiente; ,, Por las justas razones en dicha causa alegadas , por lo que producen los documentos remitidos por lps ministerios de Guerra y Hacienda…</t>
  </si>
  <si>
    <t>Delgado, Juan</t>
  </si>
  <si>
    <t>Juan Delgado</t>
  </si>
  <si>
    <t>…sia* &gt;£$*13 zaíez 160. Núm. 243. D. M. L. S. C. 300. Núm, 243. ,D. Ambrosio ;Gar¿j¿ de -la Riestra- 40. Ñúm. 244.., ;D. J. Ja P.; 40; Núm. 24 5. D. J, F.i Q, Núm. 246. El teniente coronel D. Juan Delgado 200. :Núm.; 247. ÉLreverr rendísimo P. M. vicario general de una de las.cuatro -órdenes mendicantes^ por si y á nombre de jsu comunidad de, Madrid, 320. Nú». 248.,D. Félix Barón 80. Núm- T49•• D* F.? EL° 20. Núm. 2 50. Doña, ¡Estanislaa Gamboa 160. Ñúm', 2^51…</t>
  </si>
  <si>
    <t>…. Vicente Castro y D. Francisco Ruiz, y el subteniente D. Francisco Carraledo, y unos 86 individuos de tropa; habiendo sido heridos de este cuerpo el capitán comandante accidental D. Juan Delgado, y los subtenientes D. Mi guel Rubio y D. Nicolás Baronesi, y 5 7 soldados. Del cahtotl del Potrero han muerto el capitán llamado Timoteo, 4 sargentos y i8&gt; soldados, y han sido heridos el capitán D. Julián Matos y 8 soldados. Del de Huere han muerto 2 sargen…</t>
  </si>
  <si>
    <t>Delgado, Juan Acisclo de Vera y</t>
  </si>
  <si>
    <t>Juan Acisclo de Vera y Delgado</t>
  </si>
  <si>
    <t>…nte adhe sión á- la aususta dinastía reinante. -..;■■■ ■ ; —1------ . En la mañana del dia 22 de Julio del año. próximo pasado falleció erf Cádiz, á los 57 años de edad, el Excmo. Sr. D. Juan Acisclo de Vera y Delgado, arzobispo, obispo de aquella ciudad: después de haberle Dios pro bado con una enfermedad de 3a dias, originada de un favo que contrajo es tando practicando su santa visita de la villa de Chiclana, en cuyo pueblo, qtle se reservó para el último de sus expedic…</t>
  </si>
  <si>
    <t>Delgado, Manuel Amaya y</t>
  </si>
  <si>
    <t>Manuel Amaya y Delgado</t>
  </si>
  <si>
    <t>16</t>
  </si>
  <si>
    <t>…ifiestan los riesgos que suelen seguirse á los entierros precipitados, socorros que se deben usar con los pri meros „ y medios de evitar los segundos; dados al público español por D. Manuel Amaya y Delgado , médico titular de la villa de Cácéres: un tomo en 4.0 Se hallará en la librería de Perez, calle de las Carretas, á 16 rs. en rústica. EN LA IMPRENTA REAL.</t>
  </si>
  <si>
    <t>Delicado, Juan</t>
  </si>
  <si>
    <t>Juan Delicado</t>
  </si>
  <si>
    <t>iio4 De la audiencia de Cataluña. A D. Juan Delicado, asesor del gobierno militar de Málaga. De la de Galicia. - , A D. Basilio García Manrique, corregidor de Astorga. De la de Sevilla: A D. Juan Bautista Alberola, corregidor de Andujar. De la de Asturias. , ^ A D. Andrés Josef Amat y Robles, corregidor de Alea…</t>
  </si>
  <si>
    <t>Denon</t>
  </si>
  <si>
    <t>…náux el mayor y el conde Alejandro de la Borde, Para los artículos dé ciencias están destinados el conde de Lacepede, Par de Francia y Mr. Vauqiíelin j para los de bellas artes el barón Denon , y para los dériítératafa ebccñde de Segur y Mr. Benaben. ' ; ' ‘ ESPAÑA. Havana i.° de Noviembre. - Es ineXplicableelentiisiasrno con que han sido recibidas las últimas tro pas venidas dé España, las cuales, juntamente con las milicias bien arregla das, bas…</t>
  </si>
  <si>
    <t>Desgenester</t>
  </si>
  <si>
    <t>…la peste este era el mas ¡eficaz„En las pestes que afligieron á Túnez, en 178*5 J 1797 todas Tas personas que se, ocupaban en manejar el aceite no. experimentaron novedad. , El', barón Desgenester, médico en gefe deí egércíto Trances que estuvo en Egipto, en el año de.4798.,, asegura que un numera muy considerable, de petr joñas se preservaron de la. peste por medio dejas unciones oleosas en ando no .cometieron excesos r en Tánger se ha confirmado.la.…</t>
  </si>
  <si>
    <t>Desgenettes</t>
  </si>
  <si>
    <t>…e oyó con gusto este discurso, y fue muy aplaudido el elogio de los Sres. Beclard y Marjolain, discípulos de la escuela, y recientemente nombrados catedráticos. Después publicó el barón Desgenettes los nombres de los discípulos que han sido premiados en el con curso anual. ¡ Por una carta escrita desde la bahía de Sta. Ana, isla de Curazao, con 'fecha de 12 de Octubre ultimo, se sabe la desagradable noticia de los estra gos que durante algún tiempo ha h…</t>
  </si>
  <si>
    <t>Despacho, Secretario del</t>
  </si>
  <si>
    <t>Secretario del Despacho</t>
  </si>
  <si>
    <t>…nido á bien aprobar y autorizar el proyecto de un empréstito de 00 millones de reales presentado por la* comisión de re-r emplazos establecida en Cádiz, y al.efecto ha dirigido al Sr. Secretario del Despacho de la Guerra el Real decreto del tenor siguiente; ,,Una de las principales atenciones de mi paternal diligencia en beneficio de los pueblos que la Providencia ha puesto á mi cuidado en ambos hemisfe rios, se ha dirigido á la pacificación.d« aquella parte de m…</t>
  </si>
  <si>
    <t>…l Consejo con fecha 27 de Noviembre de 1816'por medio del Excmo. Señor duque del Infantado, presidente del mismo supremo tribunal, la Real ordeii1 que dice asi: ’ „Excino. Sr.: El Sr. Secretario del Despacho de la Guerra me dice en 30 de Octubre último lo siguiente: Al Sr. capitán general de Castilla la Vieja digo con esta fecha lo siguiente: ,,He hecho presente al Rey cuanto V. E. expuso en 23 de Enero y 17 dt febrero últimos, con motivo de una con trata .partic…</t>
  </si>
  <si>
    <t>…cia y Justicia con fecha 29 de Agosto último se comunicó al Consejo, por medio dpi Excmo. Sr. duque su Presidente, la Real orden que con la de 19, del mismo le había trasladado el Sr. Secretario del Despacho de la Guerra, que dice asi: ‘ ,, Excmo. Sr.: Con fecha de 19 del corriente me dice de Real orden él Sr. Secretario del Despacho de la Guerra lo que sigue: ,,Conformándose el Rev nuestro Señor con el dictamen del Consejo Supremo de la Guerra, ha tenido á bien…</t>
  </si>
  <si>
    <t>Despuig</t>
  </si>
  <si>
    <t>…, y vi cario general de su arzobispado:■ en 1798 canónigo de dicha santa iglesia: en 1799 le continuó en dicho juzgado el cabildo en la .sede vacante que re sultó por renuncia del Sr. Despuig de aquella mitra: en 1801 presentó cedula del arcedianato de Sevilla-, y fue electo co-administrador de su arzobispado: en 18 de Octubre dei mismo año fue consagrado en esta corte con el título de arzobispo de Laodicea: en 27 de Mayo de 1808 fue vocal y vice…</t>
  </si>
  <si>
    <t>Devesa, Salvador</t>
  </si>
  <si>
    <t>Salvador Devesa</t>
  </si>
  <si>
    <t>…trado 1581.' íaem 5 de Febrero. En la junta literaria celebrada el dia 3 del corriente en la Real academia de Ciencias naturales y Artes, leyó una memoria el bachiller en Farmacia Don Salvador Devesa, individua de la misma en la dirección de química, acerca del ácido qué en 1816 descubrió Mr. Henderson , y denominó Réumico, aten diendo á que procede del zumo exprimido del tallo del (rheum rhaponticum Lm.) ruibarbo de los jardines Sin embargo de lo poco qu…</t>
  </si>
  <si>
    <t>Díaz, Domingo</t>
  </si>
  <si>
    <t>Domingo Díaz</t>
  </si>
  <si>
    <t>…: en la clase de gramática latina li bros facultativos á D. Manuel Martinez, D. Servando Aíarañon, D. Cristó bal Rubio, D. Celso PJanzon ,SD. Fernando Perez de Rozas y Campuzano y D. Domingo Díaz: en la de matemáticas puras medallas acuñadas á pro pósito á D. Santiago Cocolina, y al cadete de artillería D. Pedro OJano: en da de dibujo una .medalla de oro á D. Benito Campo , y otra de plata á Don Francisco Schell* opositores al modelo de yeso: otra med…</t>
  </si>
  <si>
    <t>Díaz, Francisco de Paula</t>
  </si>
  <si>
    <t>Francisco de Paula Díaz</t>
  </si>
  <si>
    <t>…a, calle de la Concepción Gcrónima, á 6 rs. en rústica. Ifigenia en Aulis, tragedia original en tres actos, refundida del griego y del fran cés , y acomodada al teatro español por D. Francisco de Paula Díaz. Se hallará en la librería de Pcrez, calle de las Carretas, á 4 rs. ** EN LA IMPRENTA REAL.</t>
  </si>
  <si>
    <t>Díaz, Josef</t>
  </si>
  <si>
    <t>Josef Díaz</t>
  </si>
  <si>
    <t>i79 buyo al feliz éxito, cargándolos por la espalda, acompañado del teniente.de Guayaría D. Josef Díaz. Es de la consideración de V. S. en particular el he cho del sargento segundo Nazario Calzadiüa, que habiéndose inutilizado su fusil, se atrojó con un cuchillo en la mano, metiéndose en una casa inmedia ta á la playa, en la que se hallaban 8 enemigos, y los d…</t>
  </si>
  <si>
    <t>Díaz, Juan Manuel</t>
  </si>
  <si>
    <t>Juan Manuel Díaz</t>
  </si>
  <si>
    <t>…y se presentaron para ser examinados Jos «discípulos D. ^Antonio Fernandez Alvarez , D. Pedro Ramiro de la Cuesta y Cortés, D. ¿Nicolás Arias, D Josef Salcedo, D. Diego Xaplana , D. Juan Manuel Díaz, D.Josef A gudo Fernandez y D. ¿Francisco Drsolino; los cuales después de sorteado el orden con ;que débianaetüar, manifesr taran sobre el «encerado Ja parte teórica del :arte?que Íes cupo en suerte* con* testando .después;á todas Jas preguntas . que gustaron…</t>
  </si>
  <si>
    <t>Díaz, Manuel</t>
  </si>
  <si>
    <t>Manuel Díaz</t>
  </si>
  <si>
    <t>…sta, y me dirigí- á la hacienda de Anducutin, en donde se me reunieron 40 realistas de Acámbaro, con arreglo á- la combinación que anticipadamente habla hecho con su comandante el capitán D. Manuel Díaz de la Madrid. Mi objeto era sorprender en Cuitzeo- y otro® puntos á. los tabecillas Buenrostío, Velasco y Joaquín Cendejas;; pero fue im posible poner en práctica-este plan, porque después de.haber caminado1 toda la noche no pude llegar mas que á Sta. Ana? Ma…</t>
  </si>
  <si>
    <t>Díaz, Mañuél</t>
  </si>
  <si>
    <t>Mañuél Díaz</t>
  </si>
  <si>
    <t>…an Antonio Novo, D. Alejandro Rodríguez , D. Francisco Santos, D. Francisco Calderón y D. Antonio Blanco. E11 geometría elemental el dicho D. Bartolomé Martínez, D. Manuel Barbet, D. Mañuél Díaz,'O. Ramón Pepn , D. Josef Rodríguez Romero y EX Fermín Pedregal. En geometría prác tica el referido Barbet, D. Joaquín y D. Luis Ciavareza, D. Fermín Galceran, D. Florencio Pereira/D. Manuel Rodrigpez Almeida, D. Vicente Rey, Don Ramón Casal y D. Manuel María…</t>
  </si>
  <si>
    <t>Díaz, Pedro</t>
  </si>
  <si>
    <t>Pedro Díaz</t>
  </si>
  <si>
    <t>…e Monsalud, teniente general de los Reales egércitos, gentilhombre de Cámara de S. M., y primer caballerizo de los Sres. Infantes D, Carlos María y Doña María Francisca de Asís, y Don Pedro Díaz de la Peña y Rozas, señor de las Torres Fuertes de Rivacardo, te niente de fragata de la Real Armada retirado, vecino de aquella ciudad; y este dijo á S. M. lo siguiente: ,,Señor: Vuestro Real consulado de Burgos, el primero y mas antiguo de los de esta monar…</t>
  </si>
  <si>
    <t>Díaz, Sebastian</t>
  </si>
  <si>
    <t>Sebastian Díaz</t>
  </si>
  <si>
    <t>…rdia, y sostuvo lo. mas fuerte de la acción; al teniente coronel, comandante del primero del Rey, D. Nicolás López, que Fue fuertemente contuso ; al gefe del estado mayor teniente coronel D. Sebastian Díaz; los capitanes del ba tallón del Rey D. Vicente Gallardo y D. Joaquín dél Campo , de las com pañías de granaderos y cazadores; ai teniente de esta graduado de capitán Don Manuel M'elián; ál cápítan de la sexta del segundo de Numancia D. Martin Echagarai; al t…</t>
  </si>
  <si>
    <t>Díaz, Tomas</t>
  </si>
  <si>
    <t>Tomas Díaz</t>
  </si>
  <si>
    <t>…uaulotitlan á S. Juan Huetamo, me dice en oficio de 9 del presente que una partida de 60 dragones, que puso á las órdenes del teniente coronel graduado de realistas de este pueblo D. Tomas Díaz, reforzada con 20 paisanos de las inmediaciones de Huetamo, bajo la dirección del de igual clase D. Francisco Maldonado, emprendieron la per secución del obstinado cabecilla Vicente Guerrero por los pueblos de S. Ge rónimo, Churumuco y Atijo, y que como á 30…</t>
  </si>
  <si>
    <t>Die</t>
  </si>
  <si>
    <t>…de los monteros de Espinosa y sus indi-* yiduos D: Pedro Manuel Sainz de' la'Maza, D. Servando Angel Gutiérrez d.e Solana, D. Marcelino Antonio de Rada, D- Bernardino del Arenal, D. Die go de Villasante, D Francisco dé la Maza, D. Anacleto de Rueda y Pon Juan Neppmuceno Cobo* , En' la ñoéhe del mismo día cantaron responsos á los Reales cadáveres loa clérigos de; iá. parroquia de. Alpagés ydos religiosos del. convento deí Sm</t>
  </si>
  <si>
    <t>Diego</t>
  </si>
  <si>
    <t>…linde por oriente con Don Cirist^báU^WgpUip^rlífP* Jo^eí’.Jb^jnfezj &gt;pot p^iente cün Doña, Francisca Xavier® Lozano*, ?sdro.£ahl$ Ayflími0! Jtpzanb -y-¡Montes ; ¡por mediodía con D. Diego, Fernan^qz ^tornas, tej^er^ dq .^lan, Xímenez tolano,, y camino de Yeéla p’aráxo^aVra en medio, y por el norte ^con^os. montes . Quien quisiere hacer postu ra añuda ante, dicho señor juez y escribanía, del numero de D. Cristóbal dé Vicuña, que se admitirán si…</t>
  </si>
  <si>
    <t>…ofesores; y la junta, con vista de las censuras de; cada uno, adjudicó los dds premios de^ 5 pesos á D. Miguel Rodríguez y; D.Josef Agustín de Larrinaga: ios dos segundos: de/35 á D. Diego. González y DL Joaquín Gal lo, médknté; haberle: tocado en suerte^con D¿ Josef, Bautista! de Larrlnafgá;; por igualdad de censura; é igualmente resolvió la junta que se distribuyan vario* libros é instruméntos ípbir ei valor de :3o ¿ 40 pesos entre D,-Antonio…</t>
  </si>
  <si>
    <t>Diez, Pablo</t>
  </si>
  <si>
    <t>Pablo Diez</t>
  </si>
  <si>
    <t>…0. Núm. 404. D. M. y R. óo. Núm. 403. Los señores cuestores del cuartel de Maravillas, por resto de la demanda de su cuartel, 896. Núm. 406. D. N. N. y Doña N. N. 300. Número 407. Don Pablo Diez t 20. Núin. 408. Los testamentario^ de Doña María de los Ange les Barcenilia 1500. Núm. 409. D. D. N. 6o- Núm. 410. D. Josef Royo en metálico 22 rs. y 12 mrs , y 2077 rs. 25 £ mrs. en intereses de vales Reales. Núm. 411 D N. 60. Núm. 412. Eí Excmo. Sr. conde…</t>
  </si>
  <si>
    <t>Dijeon</t>
  </si>
  <si>
    <t>/ 302 que dé Dantzlck-, al condé Darú, al tendente general Dubrgtón, al teniente general vizconde Dijeon, al conde de Arjuzon, al conde Dejeau, al marques Dampierre* á nuestro primo el mariscal príncipe de Eckmiihl, á nuestro pri mó el duque de Esclignac, al conde de ... ........... , al conde Germain, pre fecto del departamento del Sena y del Marne, al conde Ge…</t>
  </si>
  <si>
    <t>Dolarea, Alejandro</t>
  </si>
  <si>
    <t>Alejandro Dolarea</t>
  </si>
  <si>
    <t>…anta iglesia catedral de Salamanca. Plaza efectiva del Consejo Real y Supremo. A D. Josef Cavanilles, decano de la' Sala de alcaldes de casa y corte.' Honores del mismo Consejo. A D. Alejandro Dolarea, ministro del Consejo de las Ordenes; D. Mi guel Antonio Bianes, regente de la chancillaría de Valladolid ; D. Francisco Fernandez del Pino, regente de Ja audiencia de Extremadura. Honores del Consejo de las Ordenes. A D. Agustín Fivaller, deán y canónigo de…</t>
  </si>
  <si>
    <t>Dolgorowki</t>
  </si>
  <si>
    <t>586</t>
  </si>
  <si>
    <t>…to delante del coso. Celebró la misa el obispo de-Samosato. Predicó el obispo de Troyes; y concluida la fun ción se colocaron los relicarios en sus nichos en el fondo del coro. El príncipe Dolgorowki, agregado á la embajada de Rusia, salió ayer de aquí con pliegos para sli corte; '■“■■■; v f En el departamento dé Dos-Sevres se vacunaron el año pasado 5418 in dividuos „ según lo* partes que han pasado á-la prefectura los facultativos y</t>
  </si>
  <si>
    <t>Dolores, María</t>
  </si>
  <si>
    <t>María Dolores</t>
  </si>
  <si>
    <t>…El limo. Sr. obispo auxiliar de Madrid 1500. Núm. 361. El señor cura de S. Josef de Madrid , por limosnas recibidas de sus feligreses 155. Núm. 362. Un eclesiástico 60. Núm; 363. Doña María Dolores 20. Nú mero 364. D. N. 20. Núm. 365. D. Pedro Zavala y Espondá 360. Núme ro 366. D. C. Al. F. 320. Núm. 367. D». J. C. 40. Núm. 368. E. C. D. R. S. 320. Núm. 369 D. Y. S. 20 Núm. 370. D. A. R. de P. 40. Núm. 371, D. R. R., del comercio, 100. Núm. 372. D. C- V…</t>
  </si>
  <si>
    <t>Dolz, Anacleto Toron y</t>
  </si>
  <si>
    <t>Anacleto Toron y Dolz</t>
  </si>
  <si>
    <t>…de la cátedra, que fderori DJBefiito Ferrandez, D. Santiago Te jada, D. Ange{ Valero Sardi, D. Pedro Gudál, D. Pedro Antonio Pallete, D. Juan María, BiecyD. Pedro Nogues Secall, y D. Anacleto Toron y Dolz. El catedrático del establecimiento D. Agustín Alcaide dio principio al acto, manifestando la necesidad del estudió de la economía, de que tan penetrada se hallaba la Real sociedad aragonesa , pudiendo gloriarse de haber sido la pri mera que promovió su enseñ…</t>
  </si>
  <si>
    <t>Dombrowski</t>
  </si>
  <si>
    <t>…uque Gonstantino, y después que hayan hecho algún descanso seguirán su marcha á Rusia. • • Ha adoptado la dieta de Cracovia la resolución de trasladar á esta ciudad' d cadáver ael general Dombrowski, depositado en una hacienda de Posen j á ‘ fin de sepultarle dría bóveda Real, que está destinada para todos los hombres célebres de Polonia. Se ha remitido la resolución al senado de Cracovia para que haga las gestionesjconvenientes á fin de conseguir que la…</t>
  </si>
  <si>
    <t>Domin</t>
  </si>
  <si>
    <t>…o último» se ha mandado, entre otras cosas, llamar y emplazar, como se egecuta por el presente, á Doña Feli pa. Aívarez, viuda de D. Lorenzo Miguel Monasterio, y: á sus .dos hijos D. Domin go Antonio y Doña Juana Monasterio, y á los herederos y sucesores de una y otros para qüe en&gt;¡el término*de 30 cóntados desde dicha fecha, comparezcan en el juzgado de S. S. y, escribanía de Dj Alfonso de Yévenes,, á decir sobre el derecho que puedan tener á…</t>
  </si>
  <si>
    <t>…guador de S. M., 20. Núm. 66. D. B. D. 300. Núm. 67. D. Pedro Sedaño 200. Núm. 68 D. Cayetano Bautista 25. Núm. 69. Don Santiago Antonio de Unza 80. Núm. 70. D. A. E. 70. Núm. 71. D. Domin go Riesco 60, Núm. 72. El Excmo. Sr. D. Joaquín Blake ico. Núm. 73. Don M. B. 60. Núm. 74, D. N. C. 320. Núm. 75. D. J. M. 60. Núm. 76. Don J. S. 160. Núm. 77. D. N. C. 20. Núm. 78. í). Josef Ribera 3C0. Núm'. 79. Los Sres. N. S. 800. Núm. 80. D. V. R. 20. Nú…</t>
  </si>
  <si>
    <t>Domingo</t>
  </si>
  <si>
    <t>…uiente, se hace este seguñdo para el fin que queda prevenido. i ' Se desea saber el paradero de Josef Blanco, ó sus herederos, para que acudan i recoger ciertos reales en poder de D. Domingo de la Cuesta, residente en el Real astillero de Guarnizo , como testamentario de D. Angel López Villalobos, quien dejó declarado en su testamento los debía al citado Josef Blanco. Ciencia del giro por D. Martin Brousin: en esta obra, escrita con método y sen…</t>
  </si>
  <si>
    <t>…villa de Orusco para pago dé cierta cantidad que quedó debiendo" ádá tesófería de dicho ramo D. Vicenté de Saura y Sáravia; y habiendo fallecido é¿te sé cita y emplaza á sus hijos D. Domingo, D. Juan y D. Joaquín, para que e»' el término de 20 días, contadas desde esta publicación, concurran al expresado juz gado por sí, ó por apoderado, á deducir la acción que les competa; pues pasado* aquel, y no lo haciendo, se procederá sin mas citación ni em…</t>
  </si>
  <si>
    <t>…la de Orusco para pago de cierta cantidad ;¡uí quedó debiendo á la tesorería de dicho ramo D. Vicente de Saura y Sárávia ; y ha biendo fallecido este se citó y emplazó á sus hijos D. Domingo, D. Juan y D. Joa quín en la gaceta del 25 de Setiembre último, por cuya no comparec ncia se han ta sado la citada casa y huerto, aquella en cantidad de 23,500 rs., y este en la de 2700. Quien quisiere hacer postura á una y otro acuda ante S. S. por la citada…</t>
  </si>
  <si>
    <t>Domingo, Josef</t>
  </si>
  <si>
    <t>Josef Domingo</t>
  </si>
  <si>
    <t>…de Eizagpirre.” • -■ • fiontestapion de S. JE. al oficio del comandante general mariscal de campo . Pascual de Liñan. -• -¿;&gt; ,, No habia&gt; dlegado á mis manos la representación de D. Josef Domingo ■ de Eizaguirre que este individuo cita én la qué V. S. me acompaña con su oficio ,núm. 6 de 21 de Enero último, y en cuya^vista manifiesto á V. S. qúe admito á nombre del Rey nuestro Señor la donación que hace por cinco años de surhacienda nombrada él Rincón…</t>
  </si>
  <si>
    <t>Domingo, Manuel</t>
  </si>
  <si>
    <t>Manuel Domingo</t>
  </si>
  <si>
    <t>…isión del mismo tribunal: para una- plaza de alcalde del Consejo de Navarra , que' re sulta vacante1 por traslación de D. Pedro de la Puerta á otra' de la audiencia de Valencia, á D. Manuel Domingo"' Morales , que lo-.era: de ia propia, audieiir</t>
  </si>
  <si>
    <t>DomingoTason</t>
  </si>
  <si>
    <t>…Gómez. La nobleza per sonal.'' Capitán de milicias de artillería de&gt; Puerto-Cabello. D. Faustino Car ees. La nobleza personal. / Guerrillas de Camatagua. D. Josef Antonio Ramírez, D. DomingoTason. Confirmados en sus empleos de capitanes, y la nobleza personal»</t>
  </si>
  <si>
    <t>Domínguez, Antonio</t>
  </si>
  <si>
    <t>Antonio Domínguez</t>
  </si>
  <si>
    <t>…argo de la mencionada finca en el ser y estado, en que* se halla, se-cita, llama y emplaza para que en el término de 30 dias comparezca en. dicho juzgado y escribanía del referido D. Antonio Domínguez; pues siendopasado; se procederá 4 lo'que hubiere lugar. A consecuencia de providencia del Sr. D. Angel Fernandez de los Ríos , del Consejo de S. M., y teniente primero de corregidor de esta muy heroica villa, dada por la escribanía del número de D. Vicente d…</t>
  </si>
  <si>
    <t>Domínguez, Isidoro</t>
  </si>
  <si>
    <t>Isidoro Domínguez</t>
  </si>
  <si>
    <t>…ntes:” ' ■ \ ' El Rf.y nuestro Señor se ha dignado nombrar para el aVzbbispadd de Sari ta Fe de Bogotá, vacante por fallecimiento c^é’ D. Juárí Bautista Sacríst ¡n/af. M. R: P. M. D. Isidoro Domínguez, efe Jos clérigos regulares ;ménores; para la canongía lectoral nuevamente erigida en la santa iglesia catedral de Xíéridá de Maracaibo á D Josef de la.Cruz Olivares: para la ración que se halla va-, cante en la santa iglesia metropolitana de Caracas , por as…</t>
  </si>
  <si>
    <t>Don</t>
  </si>
  <si>
    <t>….=:Ex celentísimo Sr.=Ciríaco de Llano. Excmo. Sí, virey, JÉ). Juan Ruiz de&gt; Parte del cafitan D, Jtian Bautista Topete, „ He prometido á V* S. darle cuenta de lo que ocurriesé al capitán Don* Pedro Monzon que Como le tengo manifestado salió con 200 hombres de ambas armas el dia 27 del pasado á impedir las ideas’de igual número de enemigos sobre ;la hacienda de la Estanzuela. El día i.° del presente me avisó que aquellos ya se. habián vuelto, á. s…</t>
  </si>
  <si>
    <t>II56 en ¿sta corte, á-'los-9'^ anos,vio • meses y *4 ‘dilrs-’cfetedád pfchExomol Sr. Don? Martiri Alvaféz de - Sotoniayór y Torrebíanca- de FiOréfc jjT--Negrdn*'conde-deColomera, grande' de España -de poniera ‘clase f cabqílerd'-Cómeodadof en* la* orden de Santiago, gran cruz de la'Real y distlngñidái de Gáflos ni y de la Real y militar de S. Her…</t>
  </si>
  <si>
    <t>…e nombrado: y S. M., conformándose con lo qüe •acerca de esté‘asunto han expuesto por separado los Consejos supremos de Guerra é Indias, ha tenido á bien declarar que el expresado brigadier Don (Bartolomé Ciicálon^né dró itiotiVo justo para 4ser separado' del gobierno de Guayaquil, quéi'sirvió eoñ éxaófitifd y pureza , y que tampoco desmereció Ja presidencia del Cuzco para que fue electo después; y no pudiendo recaer;so bre el referido brigadier°Guc…</t>
  </si>
  <si>
    <t>Dona</t>
  </si>
  <si>
    <t>…rcito mosco vita que mündaba el ¿eneral Eérmer! eníia gran, Polonia, marchó á Brandenburs y sé halló én «1 encuentro que tuvo aquel egército con los 3c® prusia nos mandados por ei general Dona, hasta que Ies obligó el mariscal Sbltikow (que mandaba ya. losrrusos) i: incorporarse en los egércitos que tenían en Silesia y en Brandenburg. ^L-iCohf noticia de la muerte de católica el ,&gt;Sr. D ¡Fernando vi- suspendió su comisión, y se retiró,. observando…</t>
  </si>
  <si>
    <t>Donado, Laureano Josef</t>
  </si>
  <si>
    <t>Laureano Josef Donado</t>
  </si>
  <si>
    <t>S41 qüé resultan vaéantes &amp;•!&gt;,LuisMañes,^e,lp;rka-sido en comisión» i pon Fernando Josef de. Toledo y elfGóml , alcalde del crimen de ia de Extre madura , á D. Laureano Josef Donado r de laI de Sevilla , y á D. Pedro la Puerta,;alcalde dd consejo de Navarra.- jí:ü = • ' í Asimismo S. M. se ha servido Conceder una plaza de oidor de la Real au diencia de Zaragoza, vacante por promoción de D. Pedro de Si Ives á ía ase soría de la superinten…</t>
  </si>
  <si>
    <t>Donesteve, Miguel Valencia y</t>
  </si>
  <si>
    <t>Miguel Valencia y Donesteve</t>
  </si>
  <si>
    <t>…armada á los guardias-marinas siguientes en las dos fechas que se expresan ...... .Coa la de 6 de Febrero de este año: D. Josef Virues y Segovía, D. An tonio Barcaiztegui y Hoyos, D. Miguel Valencia y Donesteve, D. Antonio</t>
  </si>
  <si>
    <t>Donzelot</t>
  </si>
  <si>
    <t>…Lferoz tirano de la Albania que el poder de Bonaparte declinaba', redobló sus intrigas para conseguir la posesión de Parga; y ha biendo desechado sus propuestas con indignación el general Donzelot, recur-; rió á la violencia y como tiene de costumbre, é invadió el territorio de Parga; pero fue vigorosamente rechazado por los habitantes, quedando en el campo de batalla el bey que mandaba las tropas turcas , sobrino del mismo Ali-bajá. Conociendo sin emb…</t>
  </si>
  <si>
    <t>Dosal, Josef Navarro del</t>
  </si>
  <si>
    <t>Josef Navarro del Dosal</t>
  </si>
  <si>
    <t>…arques de Campovillar; D. Fernando Solís y Montoya; D Manuel Centurión , y D. Melchor Montoya; los 12 gentileshombres ae boca y casa D. Benito Pra do, el barón de Casa-Davalillos, D. Josef Navarro del Dosal, D. Antonio deOñativia, D. Antonio Solana, D. Manuel.de Almarza, D. Tomas Norza-f garay, D. Josef Pascual Oto , D. * Josef Sesé, D Josef Diez, D. Simón Ma teo Perez y D. Donato Arranz; los ocho individuos ya nombrados del Real cuerpo de monteros de Cámara ; d…</t>
  </si>
  <si>
    <t>Dot, Jaime</t>
  </si>
  <si>
    <t>Jaime Dot</t>
  </si>
  <si>
    <t>…ué haya lúgár¿ En virtud de providencia del Sr. D. Manuel Josef Rubio, del Consejo de S. M¿, teniente de corregidor de esta muy heroica villa, dada a instancia de los herederos de D. Jaime Dot, se cita, llama y emplaza á cualquiera persona ó acreedor que pue^ da tener derecho á la testamentaría de aquel, pendiente por el juzgado de dicho sev ñor y escribanía del.número de D, Alejaadro Gutiérrez, para que concurran á.un* junta que se ha de celebrar…</t>
  </si>
  <si>
    <t>Doz, Bonifacio</t>
  </si>
  <si>
    <t>Bonifacio Doz</t>
  </si>
  <si>
    <t>…meros 3951*4.^ 400242,, «40 &lt;5 32.9., 393164, 39*171., 396039, 38Ó899,384877 y 379885 , ios cuales |e re tuvieron en la oficina de Renovación, á virtud de reclamación dél referido D. Bonifacio Doz; con apercibimiento de que pasado dicho término .sin haber comparecido, les parará el perjuicio que haya lugar. v Los siete sacramentos según los administra lasantafglesia católica Tomana en cas tellano. Explicación de sus efectos, de las mas principales cere…</t>
  </si>
  <si>
    <t>Dtirána, Francisco</t>
  </si>
  <si>
    <t>Francisco Dtirána</t>
  </si>
  <si>
    <t>…el día en que fallébió el Sr. £&gt;. Juáñ Áñtótíió Píñeta, y cuénta de ló pagado éñ la caja por el alcánce que en ella se hizo, y otros papeles; y sbñ pará él pdéito de con cursó de D. Francisco Dtirána. ¿;b Uña escritura de censó dé redención de censo éri favor dél convento de la Mértéd dé lá éjfidñd de Tó®ó , pór lá légí^tímá dé Fr. Pediro de Tapía de 4Ó0 ducadós dé pr i fiel parí =£ Oferá dé éénáó de 400 dncádós , que sé re dimió- á los herédelos de £)óná…</t>
  </si>
  <si>
    <t>Dubrgtón</t>
  </si>
  <si>
    <t>/ 302 que dé Dantzlck-, al condé Darú, al tendente general Dubrgtón, al teniente general vizconde Dijeon, al conde de Arjuzon, al conde Dejeau, al marques Dampierre* á nuestro primo el mariscal príncipe de Eckmiihl, á nuestro pri mó el duque de Esclignac, al conde de ... ........... , al conde Germain, pre fecto del departame…</t>
  </si>
  <si>
    <t>Duchen, Salvador</t>
  </si>
  <si>
    <t>Salvador Duchen</t>
  </si>
  <si>
    <t>…ción de los discípulos del establecimien to sito en la calle del Turco, puesto bajo la protección de la Real sociedad econó mica de Amigos del país, y al cuidado de los profesores D. Salvador Duchen y Don Pedro Mezchia: citará al del primero la enseñanza del dibujo y disecado de anímales como la.continuacion del grabado de los siete cuadernos restantes, v que han de com poner,la expresada cartilla, y ál del segundo la explicación de la geometría. Estas obras, que se deben a…</t>
  </si>
  <si>
    <t>Ducos, Luis Fris</t>
  </si>
  <si>
    <t>Luis Fris Ducos</t>
  </si>
  <si>
    <t>…rte con dicho judío errante cuando este pasó, á la isla de Sta. Elena en el anó de 1817un tomo en 8.°, dedicado ai Sermo. Sr. Infante D. Carlos María-Isidro de Borbon por su autor D. Luis Fris Ducos. Para recomendar este libro -basta decir que está escrito con la misma exactitud é imparcialidad que ge advierte en las demas obras &lt;3 el autor, -á-saber: Ja^pcrsceisdbü de.la»iglesiajpor ¡Napoleón Bonaparte; el origen de la revolución-francesa; la '.relación…</t>
  </si>
  <si>
    <t>Dueñas, Antonia Ruiz</t>
  </si>
  <si>
    <t>Antonia Ruiz Dueñas</t>
  </si>
  <si>
    <t>…s á una de las huérfanas, de los militares ó patriotas que hubiesen muerto en defensa de la justa causa de. ía nación,, ha cabido en suerte del primer extracto de la de este dia á Doña Antonia Ruiz Dueñas, hija de D. Josef, capitán del segundo regimiento de infantería de Valencia, muerto en el campo del honor. ARTICULO DE OFICIO, • El Rey nuestro Señor se há dignado conceder los honores de su predica,doí á*D. Francisco d£ Paula" Villegas., ctira párroco del pu…</t>
  </si>
  <si>
    <t>Dueñas, Lorenzo</t>
  </si>
  <si>
    <t>Lorenzo Dueñas</t>
  </si>
  <si>
    <t>1196</t>
  </si>
  <si>
    <t>…. Quijote. ' _ De un día á otro se espesa en esta capital al duque de Richelieu. ESPAÑA. Lacena 30 de Octubre. , Esta Real sociedad de Amigos del país, presidida por el corregidor Don Lorenzo Dueñas, celebró en la mañana,del 24 de estejrues la junta pública</t>
  </si>
  <si>
    <t>Dufour</t>
  </si>
  <si>
    <t>…parse en la egecucion de ésta jfroyegto con ehesmero que exige su importancia , ha nombrado una comisión compuesta de sus individuos el conde de Tocqueville, el barón Sabatier, el barón Dufour, el presidente Auclatce y Bouquet para el establecimiento da estas escuelas. París € de Enero. «HaCe. algún tiempo que se están sirviendo los ingleses, en lugar de tos ca bles comunes, de una especie de maromas mucho mejores para el uso de las fainas, de las…</t>
  </si>
  <si>
    <t>Dufoureq, Juan</t>
  </si>
  <si>
    <t>Juan Dufoureq</t>
  </si>
  <si>
    <t>932</t>
  </si>
  <si>
    <t>…oidor honorario de la Real chancillería de Valladolid, teniente corregidor de esta muy heroica villa, de todos los acreedores y personas que preten dan tener derecho á la casa da D. Juan Dufoureq y compañía, del comercio de esta corte; prevenidos de que este anuncio sirve de citación bastante, y que al que no concurriere le parará todo perjuicio, y condenará á estar y pasar por lo que se Tesuelva, con acuerdo del defensor nombrado á los ausentes. Por…</t>
  </si>
  <si>
    <t>Dupuy</t>
  </si>
  <si>
    <t>…nuevo Washingtonv se reunieron-en; la punta de¡,S. Luis? Íqs oficiales de-mas viso y graduación dé cuantos hicimos prisioneros en la batalla de Maypú. Fueron agasajados-...por el gobernador Dupuy, que/lés- concedió -la "libertad de pasear por el pueblo, alojó á alguno etf sü casa , y á todos los-cohnó dé distinciones.-¡ Desgraciados! j,no sabían la,red que les:tendía en mediótdeéstos obsequios! En la mañana del 8 de Febrero se rearte en partidas, la h…</t>
  </si>
  <si>
    <t>Duquesnoy, Antonia</t>
  </si>
  <si>
    <t>Antonia Duquesnoy</t>
  </si>
  <si>
    <t>…cámara de S. M. desde Agos to de 1818 hasta 31 de Diciembre del mismo año, acudirán á recoger las cer tificaciones, de sus líquidos haberes desde i.° de Marzo próximo en adelante. Doña Antonia Duquesnoy, domiciliada en la provincia deHainaut, reino de los Paises-Bajos, deseando dejar sus bienes á sus parientes españoles, con vida á los hijos de su hermano Felipe Francisco Duquesnoy, nacido enBJandain, antigua provincia de Tournesis, y fallecido en los primer…</t>
  </si>
  <si>
    <t>Durana, Damiana Díaz de</t>
  </si>
  <si>
    <t>Damiana Díaz de Durana</t>
  </si>
  <si>
    <t>…ntería de la Princesa, sus hijos ó sucesores, para que por sí ó por medio de procurador, con suficiente poder, se muestren parte á la de claración de herederos que se solicita por Doña Damiana Díaz de Durana, viuda de D. J uan- Joaquín Basterra, y Doña Rodriga Francisca de Basterra, madre y hermana . respective del D. Francisco; con apercibimiento que no verificándolo dentro de di cho término les parará el perjuicio que haya lugar. Se halla vacante el partido de…</t>
  </si>
  <si>
    <t>Dutari, Domingo</t>
  </si>
  <si>
    <t>Domingo Dutari</t>
  </si>
  <si>
    <t>m I* o honorario del Consejo'de Estado, y colector general de Espollos y Vad eantes; D. Domingo Dutari, ministro honorario ;del Consejo de. íEstado; D. GaspáfkJe Vigodct, teniente generad de los Reales egéicítos, capíitan. ge neral de Castilla la Nueva , y caballero gran cruz de la Real orden española de Cárlos iii y de la de Isabel la Católica. Los gentilesho…</t>
  </si>
  <si>
    <t>Duthil</t>
  </si>
  <si>
    <t>…lla corte en esta, segundo plenipotenciario. 8. a Hesse electoral. El barón de Munchansen, enviado del Elector en esta •orte, único plenipotenciario. 9. a Gran ducado de Hesse. El barón Duthil,'consejero íntimo del gran Duque, único plenipotenciario. 10. Dinamarca (por: el' ducado de Holstein). El conde de Bernstorff, enviado de Si M. Diriamarquesa en esta corte, único plenipotenciario. 11. Paises-Bajos (por Luxemburgo). Mr. de Salk, ministro de In…</t>
  </si>
  <si>
    <t>D’aunoy, Carlos</t>
  </si>
  <si>
    <t>Carlos D’aunoy</t>
  </si>
  <si>
    <t>…bre.del año últiipo" se, celebraron en esta ciudad exámenes pú blicos de primeras letras, bajo la dirección del maestro D. Francisco Ren den. Presidió el acto el mariscal de campo D. Carlos D’aunoy, gobernador político y militar de .^sta ciudad ¿ y concurrieron las diputaciones del muy ilustreayuntamiento y .respetable clerovcon el vicario eclesiástico, prelados de.ilas-comunidades y. otras personas 1 distinguidas. Todos los, discípulos die ron hmestras…</t>
  </si>
  <si>
    <t>Ecbartea, Josef Ignacio de</t>
  </si>
  <si>
    <t>Josef Ignacio de Ecbartea</t>
  </si>
  <si>
    <t>…anuel de la Concha. ,, Excmo. Sr.: Dirijo á las superiores manos de V. E. el parte original -que con fecha 23 del presente acabo de recibir del comandante accidental de ¡Ixhuatlan capitán D. Josef Ignacio de Ecbartea. , ,, Por el se enterará V. E.- de los buenos efectos que ha ido producien do ia expedición al Cuyusquíhui, de que espero aun mayores resultados , prin cipalmente-si los.puntos militares inmediatos á aquel abrigadero de malvados se aprovechan para su extermin…</t>
  </si>
  <si>
    <t>Echagarai, Martin</t>
  </si>
  <si>
    <t>Martin Echagarai</t>
  </si>
  <si>
    <t>…do y D. Joaquín dél Campo , de las com pañías de granaderos y cazadores; ai teniente de esta graduado de capitán Don Manuel M'elián; ál cápítan de la sexta del segundo de Numancia D. Martin Echagarai; al teniente de cazadores del mismo batallón D. Manuel Mayoral, y subtenientes Vicente Ruiz y D. Encarnación Freites; y finalmente al te niente del batallón del Tambo D. - Agustín Ordoñéz, que en clase de oficial de estado mayor desempeñó las comisiones que s…</t>
  </si>
  <si>
    <t>Echagiie, Josef Bernardo de</t>
  </si>
  <si>
    <t>Josef Bernardo de Echagiie</t>
  </si>
  <si>
    <t>…s del presbiterio, y se cantó el invitutorio, vioflia y famosa misa del célebre compositor mvmco D. Ma nuel de Sagasti, hijo distinguido de esta ciudad. Ofició la liturgia el .Dr. Don Josef Bernardo de Echagiie , vicario de dicha parroquia .de Sta Mana juez eclesiástico dJ arciprestazgo mayor de Guipúzcoa*, y dijo la oraaon fúnebre el R. P. Fr. D&lt; mingo lasquibar, del orden de S. Francisco, natural también de esta ciudad , y predicador mayor del convento de Aranzazu…</t>
  </si>
  <si>
    <t>Échavarritesorero, Manuel González</t>
  </si>
  <si>
    <t>Manuel González Échavarritesorero</t>
  </si>
  <si>
    <t>fio 176289. 255344* 228836, 251^.95,r2rSi-éif2'yr3r640^. cfqe-fueran.endosados,en Vitoria por D. Manuel González Échavarritesorero ele Ja provincia de Alava.en.ig de Julio de 1810, á favor de Mr. A. Ripault, recibidor particular que fue en éllji por ei Gobierno intruso» para que dentro de 30 días, contados desde el 17 del corT riente mes de Mayo, comparezcan por si ó por medio de procura…</t>
  </si>
  <si>
    <t>Echevarría, Manuel</t>
  </si>
  <si>
    <t>Manuel Echevarría</t>
  </si>
  <si>
    <t>…del idioma: practicaron diferentes operaciones de aritmética común: expresaron él conocimiento que tienen de las figuras geo métricas, y el mas adelantado de todos los discípulos D. Manuel Echevarría, &gt;</t>
  </si>
  <si>
    <t>Echeverri, Juan</t>
  </si>
  <si>
    <t>Juan Echeverri</t>
  </si>
  <si>
    <t>…regimiento de Fernando vn; D. JdseFRuiz, cóifqnel, comandante del batallón ligero dé Navarra; D. Juan Orbegozó, coronel agregado del regimiento fijo de México, y mariscal de campo D. Juan Echeverri. Caballeros. ; , D. Josef Velez, capitán de milicias provinciales; D. Josef López Me-</t>
  </si>
  <si>
    <t>Eerháfidék, Ildefonso</t>
  </si>
  <si>
    <t>Ildefonso Eerháfidék</t>
  </si>
  <si>
    <t>…lina, Juan de'Dios, Juan deCastro, Tuis íLan¿as, Sántos Lázaró, Juan Francisco Hernández, Antonio IDiazi Antamo Tókeá, Etifrasió Petéis y júarl' -Ftanciscb Perez. Dé la escuela de D. Ildefonso Eerháfidék;T^3préittll«kP..e^é'pítofeor- y '^sus alumnos Pedro Guerrero, í&gt;.: JoSef"Máffinéz , 'Pedro Juan Tinarés , Ra’feel Garndo J DIonisio Alcázar ,Pedrb Pagalaz y Juan Fernandez. D. Nicolás Tolentino .Sandkez, profesor 1 1 r* . * i -, • * . . .. cuela Dv Fííetoyji…</t>
  </si>
  <si>
    <t>Eernandez, Benito</t>
  </si>
  <si>
    <t>Benito Eernandez</t>
  </si>
  <si>
    <t>…iente todos todos son muy ‘acreedores á sér reébrtiperisa&amp;ÓS :’i!á p'ésár de ello debo recomendar á V. E. encarecidamente al bizarro D. Juan Bautista'Reyes, á ios heridos ca pitán D. Benito Eernandez y subteniente D. Ángel Fiorez ; al teniente coro nel D. Juan Tolrrá, que por cubrir el servicio de: aquel dia se halló en van guardia, y sostuvo lo. mas fuerte de la acción; al teniente coronel, comandante del primero del Rey, D. Nicolás López, que Fue fuerte…</t>
  </si>
  <si>
    <t>Egaña, Quirico Antonio</t>
  </si>
  <si>
    <t>Quirico Antonio Egaña</t>
  </si>
  <si>
    <t>De la NaVa del Rey. A D. Quirico Antonio Egaña. De Ma zarrón. A D. Pelegrin Miguel de Barbastro. De los Barrios en el campo de Qibraltar. A D. Antonio Becerril Hiño josa.. Segundo de la ciudad de Córdoba. A D. Angel Martínez del Pozo. : De Camprodons. A D. Estanislao Oloriz y Este!les. De Berga. A D. Salv…</t>
  </si>
  <si>
    <t>Eguía, Francisco de</t>
  </si>
  <si>
    <t>Francisco de Eguía</t>
  </si>
  <si>
    <t>…mente impresos en mi corazón. Tendreislo entendido, y jo comunicareis á quien corresponda para su cumplimiento. Palacio 14 .de Enero de iSie&gt;. = Está señalado de la Real mano. = A D. Francisco de Eguía.” El limo. $r. director general en comisión del Gredito público, procuran do por todos los medios posibles proporcionar el correspondiente crédito áí papel-moneda , y considerando que uno de los que contribuyen á tan justo -objeto es la periódica renovación d…</t>
  </si>
  <si>
    <t>…rvido dirigir ál Sr. Secretario de Estado y det Despacho de Gracia y Justicia, con fecha de 13 del corriente, el-Real decretp que sigue: : ,, A tendiendo á la quebrantada salud de D. Francisco de Eguía, mi Secre* tarío de Estado y del Despacho de la Guerra, he venido en exonerarle de este encargo, y dél despacho interino de Marina, concediéndole la capitanía geíñeral del reinó y costa de Granada, para que pueda verificar su restablecimien^ t°; y quiero que…</t>
  </si>
  <si>
    <t>Eígiiea, P. Pedrolgnacío de</t>
  </si>
  <si>
    <t>P. Pedrolgnacío de Eígiiea</t>
  </si>
  <si>
    <t>…a lleció á 2 de Diciembre de 1807, sobre que D* Matías de Pecina cesase en U* funciones de heredero fideicomisario del D. Juan Agustín, á virtud de la-sus titución que le hizo el -coronel P. Pedrolgnacío de Eígiiea, uno denlos que aquel nombró por tales en su testamento; y que a su virtud se entregasen á los citados herederos los bidnfeá quedados :poF fallecimieiitq 4¿:1 P. Juán Agus^!e Abrí^d^iSió se *ín ‘ Pnr; proyrdéncias' dél’%Agostó de^8r^ ^'3 sirvió el Consejo'con…</t>
  </si>
  <si>
    <t>Eizaguirre, Josef Domingo</t>
  </si>
  <si>
    <t>Josef Domingo Eizaguirre</t>
  </si>
  <si>
    <t>…. México ji de Febrero* Oficio del comandante general mariscal de campo 2&gt;. Pascual de Liñan al Mxcmo. Sr. virey. ,, Excmo. Sr.: Ptao á manos de VV E. la representación adjunta de Don Josef Domingo Eizaguirre, Vecino de esta ciudad , y dueño de la hacienda nombrada Rincón de Parra, alias la Tunilfa, situada en estas inmediaciones, en la que trascribiendo otra que en'24 de Marzo de 1817 elevó á la superio ridad de V. E., cediendo por cinco años dichas tierras para…</t>
  </si>
  <si>
    <t>Eizgguirre, Josef Domingo</t>
  </si>
  <si>
    <t>Josef Domingo Eizgguirre</t>
  </si>
  <si>
    <t>…nde del Yenadito.” * ' .J , .' . 'r&lt; r. '/ . $ • '¿me - tita- 2? \0ftíuáiiúfíir. ,,Excmo. Sr.: Con fecha de 24 de.Marzo de 18.17 representé á E.do .que sigue: - ■.? -v*-ú- * ;' ,, D. Josef Domingo Eizgguirre, vecino y. del cpme*cip : de la. plaza, ¿e Veracruz, ante los respetos de Y« E. con el*’ mayor'de .mi veneración digo: Que SOy dueño de la hacie^d^ nqpibrada elj&amp;útfpit, d.e Earrg'/ aliasríafTuni•11a ,distante tres, leguas ge aquella plaza, su extensión de se…</t>
  </si>
  <si>
    <t>Eli, Francisco Xavier</t>
  </si>
  <si>
    <t>Francisco Xavier Eli</t>
  </si>
  <si>
    <t>…s del ayuntamiento, el cabildo eclesiástico,: el comandante de las ar mas, el cuerpo de inhábiles y la nobleza esperaron á S, A* en su casa-palacio, donde ya se hallaba el Excmo.. Sr. D. Francisco Xavier Eli o, cap ¡tan gene ral de este reino, con el mismo fin. A las, cinco de la tarde tuvieron la honra de besar la mano de S. A.; y después de mesa* en que se dignó admitir una ligera expresión de la ciudad, pasó S. A. á gozar del recreo' de los paseos., jardines y…</t>
  </si>
  <si>
    <t>Elias, Francisco</t>
  </si>
  <si>
    <t>Francisco Elias</t>
  </si>
  <si>
    <t>…n singular favor habían procurado merecer con la mas constante . aplicación. El Sr. D. Pedro Franco, \VÍce-protéctor deTla Real academia de S. Fernando^ los Sres. D. Jóséf Maé*a y D. Francisco Elias ¿ 'director:y vice-dírectbé. deÍ7 a misma , habían juzgado de antemano el mérito de las obras, y señalado, Ios&gt; respectivos premios; y S. M., después de haber visto el tocador de la Serení*: sima Sra. Infanta DA Luisa Carlota de Borbon, cuyas piezas de fino g…</t>
  </si>
  <si>
    <t>Elío, Francisco Xavier</t>
  </si>
  <si>
    <t>Francisco Xavier Elío</t>
  </si>
  <si>
    <t>…utorida des políticas y militares, nobleza, cuerpos de la guarnición de la plaza y démas que se hallaban en ella, y también ael Excmo. Sr. capitán general de este egército y reino D. Francisco Xavier Elío, juez protector de este Real cuerpo. Ofició el Excmo. é limo. Sr. arzobispo D. Vereraiindo Arias de Tejeiro, cas* pellan de dicho cuerpo, asistido de canónigos de esta santa metropolitana iglesia. En el primer día pronunció la oración fúnebre por: la RniNA nu…</t>
  </si>
  <si>
    <t>Elizalde, Juan Manuel de</t>
  </si>
  <si>
    <t>Juan Manuel de Elizalde</t>
  </si>
  <si>
    <t>…dél Despacho dé Hacienda; Ddn Honorato Bouyon, brigadier; D. Pedro Leonardo Noriega, teniente coronel; D. Antonio Garfias y Patino, oidor honorario de la Real audiencia de Quitó; D. Juan Manuel de Elizalde, oidor de la Real audiencia de Manila; D. Jo sef Antonio de Andrade, coronel del regimienta de dragones provincialesde Nueva-Galicia; D. Domingo Estanislao déLüaces, brigadier; D. Ángel Díaz del Castillo, coronel del regimiento de Fernando vn; D. JdseFRuiz, c…</t>
  </si>
  <si>
    <t>Elorza, Rafael de</t>
  </si>
  <si>
    <t>Rafael de Elorza</t>
  </si>
  <si>
    <t>…sus feligreses, 1670. Núm. 132. Un farmacéutico 300. Núm. t33. D. R. S. 440. Núme ro 134. D. N. 40. Núm. 135. Doña R. B. 20. Núm. 136. D. Evaristo Vi cente Alvarez 120. Núm. 137. D. Rafael de Elorza 100. Núm. 138. Doña Ramona Berenguel 60. Núm. 139. D. P. P. 40. Núm. 140. D. N. 2®. Nú mero 141. El Exorno. Sr. D. Martin García y Loigorri 200. Núm. 142. Fé lix Fernandez, mozo sirviente, de su sueldo, 20. Núm. 143. D. V. y Doña M. 400. Núm. 144- Doña M. V.…</t>
  </si>
  <si>
    <t>Elvira</t>
  </si>
  <si>
    <t>…udad de Ciudad-Rodrigo, por sí, como madre, tutora y curadora de sus bijas* menores y D. AntonioFernandez de Velascq, sobre .los bienes ry, hacienda* que í».: pertenecían á di cha Doña Elvira, y recibió sobre sus bienes el citado Velasen, otorgada ea 9 dé Setiembre dé 1560 anos ante Francisco de da Carrera , escribano deí * ^ mero de dicha ciudad. {Se eonHutínra.) - -</t>
  </si>
  <si>
    <t>Epalza, Francisco Ugarte y</t>
  </si>
  <si>
    <t>Francisco Ugarte y Epalza</t>
  </si>
  <si>
    <t>…no Manuel, D. Cayetano Vivanco y Young, D Josef Avila y Miranda, Don Antonio Ibañez y Ortega, D. Gregorio Aso Travieso, D. Mariano Fernan dez Tejeiro, D Bartolomé ,Gil de Padilla, D. Francisco Ugarte y Epalza, D. Jo«ef Ibañez y Ortega, D. Joaquín Gutiérrez Peña, D. Fernando Guerra de la Vega y Callantes7, D. Josef Gómez y Quintana, D Manuel JLoigorrj y González, y el soldado distinguido-D..Deogracias Salinas,.se ha servido,con cederles grado de subtenientes de inf…</t>
  </si>
  <si>
    <t>Eraña, Brrnardino</t>
  </si>
  <si>
    <t>Brrnardino Eraña</t>
  </si>
  <si>
    <t>…qué se les adeude por razón de alcances en la mencio nada época. * - ü • Por el présente se cita, llama y emplaza por término de 15 dias, contados desde Ja publicación dé este, á D. Brrnardino Eraña, cajero principal del Crédito público, en esta corte, y á D. Josef Alonso y Estrada, también de esta vecindad, como úl'tíiñbs tenedores, el primero de un vale Real de 300 pesos, creación de i.° dé Mayo de 1814, núm. 30639 , y el segundo de otro vale Real tamb…</t>
  </si>
  <si>
    <t>Eraso, Pedro</t>
  </si>
  <si>
    <t>Pedro Eraso</t>
  </si>
  <si>
    <t>…ultados, y á los prisioneros se les ha dado libertad para que conozcan sus yerros, y la generosidad de los gefes de S. M. Los subdelegados de Chayanta entrante y saliente teniente coronel D. Pedro Eraso y coronel D. Fran cisco Xavier Velasco, en virtud de mis prevenciones para que obrasen con actividad y en combinación con las tropas de Arque, con fecha del 8 me avi san que el teniente de milicias D. Bernardo Gutiérrez, encargado de una pe queña fuerza para…</t>
  </si>
  <si>
    <t>Erdoedy</t>
  </si>
  <si>
    <t>…3 de Febrero. ~ Corre todavíá con crédito ia noticia de la mudanza de nuestro ministerio, aunque no se sabe nada de oficio sobre este particular; y también se habla del retiró dél conde Erdoedy, canciller de Hungría. Se han recibido noticias muy satisfactorias del Rio-Janeiro, por las cua les se sabe que la Princesa Real del Brasil sigue felizmente en su preñez. Laibach 2 6 de Enero. - Se ha publicado en estos dias un decreto de S. M.-, en virtud de…</t>
  </si>
  <si>
    <t>Erglucia, Manuel</t>
  </si>
  <si>
    <t>Manuel Erglucia</t>
  </si>
  <si>
    <t>…oría de los Sres. del Consejo. 21. Testimonio de la Real carta egecutoría, librada á pedimento de Doña María Rita de Gamarra y Osa, viuda, vecina de Deba, en el pleito seguido con D. Manuel Erglucia y consortes en la Real chancillería de V alladolid so bre la sucesión del mayorazgo titulado de Goyaz, y otras cosas, refrendado del escribano Juan Bautista de Andonaegui. 22. Hijuela formada por el escribano Pedro Sánchez de Buendia, que lo era de provincia,…</t>
  </si>
  <si>
    <t>Errasti, Ignacio Vicente de</t>
  </si>
  <si>
    <t>Ignacio Vicente de Errasti</t>
  </si>
  <si>
    <t>…a Valdearenas. Quien supiere el paradero de dos vales Reales de 300 pesos cada uno, creación de i.° de Enero de 1808, señalados con los números 1:01793 y 110581, pertene cientes á D. Ignacio Vicente de Errasti, cuyos vales íiieron aprehendidos por el titu lado capitán de híísares de Burgos D. Eustaquio Sacristán, al tiempo que eran remiti dos a su renovación , según estaba íuandadoLpor repetidas órdenes por el comisionado D. Santiago Ayala á esta capital con otros…</t>
  </si>
  <si>
    <t>Es, Andrés</t>
  </si>
  <si>
    <t>Andrés Es</t>
  </si>
  <si>
    <t>…Núm. 491. El Excmo. é limo. Sr. obispo de Avila 320. Núme ro 492. D. N. 500. Núm. 493. D. M. C. 500. Núm 494, El Excmo. Señor conde de Parcent y Contamina 90°* Núm. 495. El limo. Sr. D. Andrés Es teban, obispo de Jaén, 2®. Núm. 496. Ei colegio de Madrid, de escribanos notarios de los reinos, á nombre de todos sus individuos, i®. Núm. 497;J30n J. A. 66 rs. y 18 mrs. Núm. 478. D. G H. 20. Núm. 499. D. Francisco» Xavier Givert 100. Núm. 500. D. Ignacio X…</t>
  </si>
  <si>
    <t>Espa, Inocencio</t>
  </si>
  <si>
    <t>Inocencio Espa</t>
  </si>
  <si>
    <t>580</t>
  </si>
  <si>
    <t>…cito-^ que Je .corrdípoñde como comprendido' etr los artículos i.° y6.° déla ex presada: circular:, y por igual motivo; r Por otra de la misma fecha se ha servido S. M. conceder á D. Inocencio Espa llar gas, cirú j año establecido en la ci udád de ¡ TerueL, e i fuero -mi litar-J uso de uniforme de practicante de cirugía dei egército, &lt;jue le corresponde co mo comprendido en el art. 2.? déla mencionada circhlarj y por igual&gt; causa.Por otra del mismo día…</t>
  </si>
  <si>
    <t>Espejo, Antonio Marques y</t>
  </si>
  <si>
    <t>Antonio Marques y Espejo</t>
  </si>
  <si>
    <t>…... . r á Retórica epistolar , ó arte nuevo de escribir todo género de Cartas misivas y fa miliares , con egemplos de los autores mas célebres nacionales y extrangeros, pdr el Dr. D. Antonio Marques y Espejo : segunda impresión, aumentada considerableínehte con un tratado de cdniercio, liria lista de voces de dudosa ortografía según la mas moderna, y una breve noticia de los principales caminos de España*, de muy buena impresión y papel : un volumen en 8.° á 10 r…</t>
  </si>
  <si>
    <t>Espi, Bartolomé</t>
  </si>
  <si>
    <t>Bartolomé Espi</t>
  </si>
  <si>
    <t>4 , M3r para la compra de la jurisdicción del mismo, á favor de D. Bartolomé Espi nóla , caballero del orden de Santiago, otorgada en esta corte á 6 de Junio de 1628 ante el escribano del número Francisco de Cartagena. 4.0 Escritura de reconocimiento de censo de noors. de principal, otor gada por Luis Rodríguez de la Vega y Doña Luisa Ordo…</t>
  </si>
  <si>
    <t>Espinóla, Carlos de</t>
  </si>
  <si>
    <t>Carlos de Espinóla</t>
  </si>
  <si>
    <t>…, primero á D. Bartolomé de Olaechea. Idem segundo á D. Isidro de Certucha. Idem tercero á D. Juan Bernardo de Uriarte. Segundo año: primero á D. Josef María de Aguirre; segundo á D. Carlos de Espinóla, y segundo idem á D. Juan Poéy. Geografía, primero i D. Juan Poéy. Estos premios consistian en 22 medallas de plata, que Ies fueron puestas por los señores alcalde y demas capitulares del ilustre ayuntamiento, y por varios eclesiásticos y otras personas de la…</t>
  </si>
  <si>
    <t>Espondá, Pedro Zavala y</t>
  </si>
  <si>
    <t>Pedro Zavala y Espondá</t>
  </si>
  <si>
    <t>…El señor cura de S. Josef de Madrid , por limosnas recibidas de sus feligreses 155. Núm. 362. Un eclesiástico 60. Núm; 363. Doña María Dolores 20. Nú mero 364. D. N. 20. Núm. 365. D. Pedro Zavala y Espondá 360. Núme ro 366. D. C. Al. F. 320. Núm. 367. D». J. C. 40. Núm. 368. E. C. D. R. S. 320. Núm. 369 D. Y. S. 20 Núm. 370. D. A. R. de P. 40. Núm. 371, D. R. R., del comercio, 100. Núm. 372. D. C- V. D. 200. Núm. 373. Don J. D. V. 40. Núm. 374. D. M. G. 104. Nú…</t>
  </si>
  <si>
    <t>Esquive, Josef ManueL de</t>
  </si>
  <si>
    <t>Josef ManueL de Esquive</t>
  </si>
  <si>
    <t>…anongía magistral de la santa iglesia metropolitana de Guatemala al Dr. D. Antonio Croque*; y para la dignidad de arcediano de la catedral de Durango, vacante por fallecimiento de D. Josef ManueL de Esquive!, á D. Vicente Simón González de Cosío. Por Real resolución de 31 de Diciembre de! año próximo pasado, á con sulta del. Consejo Supremo de la Guerra, se ha servido S. M. conceder á Don Diego Carrero &gt; natural de la villa de: Villaiba de Alcor, diócesis de Sev…</t>
  </si>
  <si>
    <t>Esquivel, Dionisio</t>
  </si>
  <si>
    <t>Dionisio Esquivel</t>
  </si>
  <si>
    <t>37</t>
  </si>
  <si>
    <t>…ocido su fuer za , hice salir una guerrilla de infantería á cargo del bizarro subteniente de Zaragoza D. Bartolomé Roselló, y dos de caballería, al de los alféreces de Sierragorda D. Dionisio Esquivel y el de realistas D. Eugenio Torres, para que ios tirotearan en la posición que habían ocupado. Luego que vieron sepa radas las guerrillas de la columna volvieron á repetir otra carga con tsnta te nacidad que se mezclaron con ellas al sable; pero habiendo sid…</t>
  </si>
  <si>
    <t>Esquível, Dionisio</t>
  </si>
  <si>
    <t>Dionisio Esquível</t>
  </si>
  <si>
    <t>…superior Gobierno, y muy particularmente los bizarros y valientes de Zaragoza teniente D. Manuel de Lara-y subteniente D. Bartolomé Roselló, el alférez de dragones de Sierragorda D. Dionisio Esquível, y el cabo del mis mo cuerpo Miguel Hernández, alférez de realistas D. Eugenio Torres, sargen tos Josef Guzman, Mariano Ríos , Josef Osorno, Hilario Godoy, Manuel Colín, y el voluntario D. Felipe Tinajero. ,, Dios guarde ávmd. muchos años.,S.'Luis de la Paz J…</t>
  </si>
  <si>
    <t>Estado, Secretario de</t>
  </si>
  <si>
    <t>Secretario de Estado</t>
  </si>
  <si>
    <t>…DE OFICIO. El teniente general D. Pablo Morillo, general en gefe del egércíto expe dicionario de Costa-firme, desde Caracas con fecha de 18 de Noviembre úl timo remite al Exorno. Sr. Secretario de Estado y del Despacho universal de la Guerra los dos partes que siguen: r.° ,, El brigadier D. Tomas de Cires, gobernador de la provincia de Ctímaná, y comandante general de la cuarta división, con fecha de 18 del mes próximo pasado me dice lo que sigue: Excmo. Sr.:…</t>
  </si>
  <si>
    <t>…i¿ Manuel González Salmón. Tendreislo entendido, y lo, comunicareis á quien corresponda para su cumplimiento. = Rubricado de la Real mano." Asimismo S. M. se ha servido dirigir ál Sr. Secretario de Estado y det Despacho de Gracia y Justicia, con fecha de 13 del corriente, el-Real decretp que sigue: : ,, A tendiendo á la quebrantada salud de D. Francisco de Eguía, mi Secre* tarío de Estado y del Despacho de la Guerra, he venido en exonerarle de este encargo, y…</t>
  </si>
  <si>
    <t>…e es español americano, natural de la isla dé Sto. Dopiingo. Dios guarde á V. E. muchos añds..-Cuartel:general de Calabozo 12 de Mayo de 1819 =&gt;Excmo. Sr. = Pablo Morillo.?:Excmo. Sr. Secretario de Estado y del Despacho universal de la Guerra.” Parte que se cita en el oficio anterior. „ Habiéndome V. S. ordenado saliese, con mis fuerzas el día 20 del cor-</t>
  </si>
  <si>
    <t>…y á fin de que se sirva po nerlo en el conocimiento de S. M. Dios guarde á VV E. muchos años. Cuar tel general de Calabozo 12 de Mayo de 1819. = Excmo. Sr.rs Pablo Morillo. Excmo. Sr. Secretario de Estado y del Despacho universal de la Guerra.” Parte que se cita en el oficio anterior. Jt Habiendo avanzado está tarde con los dos primeros escuadrones de mi fegimiento por mandado de V". S. con dirección á Caño Bravo, encontré con unos 160 rebeldes á caballo, que…</t>
  </si>
  <si>
    <t>…para que tenga á bien elevarlo al del Rey nuestro Señor. Dios guarde á V. E. muchos años. Cuartel general de Valencia 13 de Setiembre de i8i9.=Excmo. Sr. = Pablo Morillo. = Excmo. Sr. Secretario de Estado y del Despacho universal de I» Guerra.” Por Real resolución*, i consulta personal del Consejo Real del viernes 3 de este mes, se ha servido S. M,. conceder al lugar de Atea, partido de Calatayud, reino de Aragón , la gracia y facultad correspondiente para cel…</t>
  </si>
  <si>
    <t>…efecto expresado, y para que al mismo fin lo circule a las justicias de los, pueblos de su distrito; dándome aviso del recibo de esta. Madrid 20 de Diciembre de 1819. ~ 2.a Por el Sr. Secretario de Estado y del Despacho de Gracia y Justicia con fecha 29 de Agosto último se comunicó al Consejo, por medio dpi Excmo. Sr. duque su Presidente, la Real orden que con la de 19, del mismo le había trasladado el Sr. Secretario del Despacho de la Guerra, que dice asi: ‘…</t>
  </si>
  <si>
    <t>Estanislao, Domingo</t>
  </si>
  <si>
    <t>Domingo Estanislao</t>
  </si>
  <si>
    <t>…udiencia de Quitó; D. Juan Manuel de Elizalde, oidor de la Real audiencia de Manila; D. Jo sef Antonio de Andrade, coronel del regimienta de dragones provincialesde Nueva-Galicia; D. Domingo Estanislao déLüaces, brigadier; D. Ángel Díaz del Castillo, coronel del regimiento de Fernando vn; D. JdseFRuiz, cóifqnel, comandante del batallón ligero dé Navarra; D. Juan Orbegozó, coronel agregado del regimiento fijo de México, y mariscal de campo D. Juan Echeverri.…</t>
  </si>
  <si>
    <t>Este, Estanislao Oloriz y</t>
  </si>
  <si>
    <t>Estanislao Oloriz y Este</t>
  </si>
  <si>
    <t>…n Miguel de Barbastro. De los Barrios en el campo de Qibraltar. A D. Antonio Becerril Hiño josa.. Segundo de la ciudad de Córdoba. A D. Angel Martínez del Pozo. : De Camprodons. A D. Estanislao Oloriz y Este!les. De Berga. A D. Salvador Arnaldo y Segaría. De Elda. A D. Melchor Cortés y Llagas.; , , ' . . ' En América.• El Rey nuestro Señor-se ha dignado nombrar para la pía* .z&amp; de oidor .de la-Real audiencia dé Charcas , vacante; por .promoción de Don Francisco X…</t>
  </si>
  <si>
    <t>Esteban</t>
  </si>
  <si>
    <t>…rse antes por menor, asi de las condiciones de dicha plaza, como de las circunstancias del país (tal vez el mas barato que se conoce en el día en la península}, podrán dirigirse á D. Esteban, de Agnás, rector de la parroquia. Nuevo manual de comerciantes, tratado útilísimo para los banqueros, mercade res , y demás personas que necesitan librar ó tomar letras de cambio sobre las mas principales plazas de Europa. Esta obra es la mas completa en su…</t>
  </si>
  <si>
    <t>Estenoz, Juan Estéban Hermógenes</t>
  </si>
  <si>
    <t>Juan Estéban Hermógenes Estenoz</t>
  </si>
  <si>
    <t>…del es cribano de provincia IX Vaidomero Moraleda, se cita, llama y emplaza á todas y cualésquier personas que se crean con derecho á los bienes quedados por el falleci miento de D. Juan Estéban Hermógenes Estenoz, ocurrido en el mes de Agosto de i 81 o» para que en el término de un mes, que se les señala por primero, segundo, ter cero y único, acudan al juzgado de dicho señor y escribanía de provincia del citado E); Vaidomero á deducirlo con documentos que lo califiqu…</t>
  </si>
  <si>
    <t>Estensoro, Josef</t>
  </si>
  <si>
    <t>Josef Estensoro</t>
  </si>
  <si>
    <t>…ibera y Tuyo, y de las jurisdicciones y demas preeminen cias que se confiscaron al citado condestable. 24. Testimonio de filiación de legitimidad y sucesiones por línea materna de D. Josef Estensoro de la Peña y Cortázar, desde el comendador D. Juan de Baeza y Marcha, aposentador de la Emperatriz nuestra Señora, méritos y servicios de D. Sebastian de la Peña, en el Real y supremo Consejo de las Indias,: sacado en la ciudad de México á 31 de Diciembre de…</t>
  </si>
  <si>
    <t>Esteres, Josef María Origel y</t>
  </si>
  <si>
    <t>Josef María Origel y Esteres</t>
  </si>
  <si>
    <t>…flor de Lis óóii que -S. M¿ Cristianísima Je, ha "agradada por su decidida adhesión á la justa causa de los Borbones. ! J Igualmente se ha servido S. M. conceder su Real permiso á D. Josef María Origel y Esteres , natural de la ciudad de México ] para- qfcié pueda usar déJa condece rabión de la fió* de Lis conque ha sido agraciado pót S.í:M. Cristianísima en consideración á sus buenos y leales servicios, y á su constan te adhesión ^y amor á la augusta dinastía de Bor…</t>
  </si>
  <si>
    <t>Esterhazy</t>
  </si>
  <si>
    <t>…blezcan fábricas, r AUSTRIA. Viena 77 de Febrera. 1 Está señalado eldia 20 para la partida dd embajador persa, y le acom pañará hasta las fronteras el consejero Hammer. 1 u J 1 El príncipe Esterhazy, nuestro embajador en la corté de Londres, partió ayer para su destino. La mayor parte de los emba jadores extrangeros acreditados cerca de nues tra corte seguirán al Emperador nuestro Monarca á Italia. El nuncio del Papa conde de Leardi se ha dirigido á Vene…</t>
  </si>
  <si>
    <t>Esterhazy, Pablo de</t>
  </si>
  <si>
    <t>Pablo de Esterhazy</t>
  </si>
  <si>
    <t>…on la Silesia austríaca), para deliberar sobre algunas propuestas del Gobierno relativas á negocios de hacienda. El Archiduque Josef, palátino de Hungría, salió ayer para Budn. El príncipe Pablo de Esterhazy, embajador de esta corte cerca de la de Londres, que se halla en su patria con licencia, se restituirá muy en breve á su destino. Idem 2 r. La reunión de las milicias (landwehr) dio poco tiempo hace origen á las noticias mas absurdas acerca de los preparativo…</t>
  </si>
  <si>
    <t>Esterripa, Francisco Xavier</t>
  </si>
  <si>
    <t>Francisco Xavier Esterripa</t>
  </si>
  <si>
    <t>…oral de la Sta. iglesia de Comayagua al Dr. D. Manuel López de la Plata. ^ Asimismo se ha dignado nombrar para la regencia de la Real audiencia de Quito, vacante por jubilación de D. Francisco Xavier Esterripa, á D. Fran cisco Xavier Manzanos: para la plaza de alcalde del‘Crimen de la Real au diencia de Lima » vacante por fallecimiento de D. Manuel de Irigoyen, a D. Vicente Ródrigiiez Romano: para la alcaldía mayor de Nata, en la pro vincia de Panamá, vacante por c…</t>
  </si>
  <si>
    <t>Esteve, Vicente</t>
  </si>
  <si>
    <t>Vicente Esteve</t>
  </si>
  <si>
    <t>…D. Manuel Fidalgo, intendente de Zamora; el conde de Calatrava', gentilhombre de Cámara; Dbn Esteban Asta, gobernador de la sala del Crímen depáceres; D. Josef Anto nio Serrano y D. Vicente Esteve, alcaldes de la misma audiencia. Orden de María JLuísq, \ } Marquesa de Castromonte; condesa de la Puebla de los Infantes; marque sa de Castelar; duquesa de S. .Lorenzo; marquesa viuda de S. Román Doña Mana Guadalupe Moneada de Fernandez de Córdoba; condesa d…</t>
  </si>
  <si>
    <t>Estos</t>
  </si>
  <si>
    <t>…a^ los- mas&gt; 'Satisfactorios ^resultados.. El ihapónte- de. Jos - derechos sobre los consumos ha subido considerablemente, y esto prueba el aumento de- la rique za de la nación en general Estos derechos produjeron en 1817: 16.370,854 Kbras esterlinas, yen 1818: .18.94^ &gt;4 5° libras, esterlinas. El producto del fon do de amortización; te ha&lt; aumentado en 2.663®- fibras; esterlinas ,yasciende 'á/42 Imillopesty ihedió.lEn ñn, lá renta totálldfe la Gran…</t>
  </si>
  <si>
    <t>Estrada, Josef Alonso y</t>
  </si>
  <si>
    <t>Josef Alonso y Estrada</t>
  </si>
  <si>
    <t>…el présente se cita, llama y emplaza por término de 15 dias, contados desde Ja publicación dé este, á D. Brrnardino Eraña, cajero principal del Crédito público, en esta corte, y á D. Josef Alonso y Estrada, también de esta vecindad, como úl'tíiñbs tenedores, el primero de un vale Real de 300 pesos, creación de i.° dé Mayo de 1814, núm. 30639 , y el segundo de otro vale Real también de 300 pesos y mis ma creación, mím. 9962, retenidos á instancia de D. Juan Rodr…</t>
  </si>
  <si>
    <t>Estrada, Ju-' Han Alonso y</t>
  </si>
  <si>
    <t>Ju-' Han Alonso y Estrada</t>
  </si>
  <si>
    <t>IIJ2 , . ...... dones, ante dichos senótes patronos ó en la escribanía de provincia, donde se hallan radicadas las indicadas memorias, que es la vacante que sirvió últimamente D. Ju-' Han Alonso y Estrada; con apercibimiento que pasado dicho término sin haberlo cum plido, se procederá al nuevo nombramiento de capellanes. En virtud de providencia de los Sres. del Consejo Real de Castilla en sala de provincia» su fecha 30 del pasado, se ha mandado volver á publi…</t>
  </si>
  <si>
    <t>Estrada, Julián Alonso y</t>
  </si>
  <si>
    <t>Julián Alonso y Estrada</t>
  </si>
  <si>
    <t>…rovidencia dictada en x 8 del corriente por el Sr; D. Ramón Satué, del Consejo de*S. M., su alcalde de Casa y Corte, por ia escribanía de provin cia vacante que sirvió últimamente D. Julián Alonso y Estrada, y hoy despacha Don Santiago Manuel de AIbóniga, á instancia dé D. Manuel de Pando, síndico eh el con curso de los bienes de D.,Juan de Aguirre, se ha señalado para junta de los acree dores de ¿1 el jueves 26 del corriente, á las 1 x de su mañana’, en la sala…</t>
  </si>
  <si>
    <t>1223</t>
  </si>
  <si>
    <t>…Aranjuez, para que en el término de 30 dias, contados desde 6 del corriente, comparezcan en la audiencia de S. S. y por la escribanía de provincia, vacante, que sirvió últimamente D. Julián Alonso y Estrada, por sí ó por medio de procurador, y con poder bastante, á usar del derecho que le corres ponda por el fallecimiento de ios referidos sus padres; con apercibimiento que pasa-; do sin haberlo egecutadole parará el perjuicio que haya lugar, y se dará á los auto…</t>
  </si>
  <si>
    <t>Estrella</t>
  </si>
  <si>
    <t>…ños asistidos de dm conjuntór de instfumentos y música alusiva á les circunstancias ¿ aplaudiendo el concurso las benéficas miras de S. M., la excelencia'del método, y el celó del profesor Estrella, que tan hien ha sa¡*' bido íponerio en práctica!. ',11. h ^ J c 1') , i, de Xátiva go de jnnio. •; íí: : El Real seminario patriótico de esta ciudad .en i lósi diáa ii 6 ^ jqir x 8; 19* 21 y 22 del presente mes celebró, egercicios públicos. En las mañanas y…</t>
  </si>
  <si>
    <t>Estrella, Juan GuerrérO</t>
  </si>
  <si>
    <t>Juan GuerrérO Estrella</t>
  </si>
  <si>
    <t>…. El Celo por lá pública educación de la juventud que cada dia hace ma yores progresos en-España, bajo los auspicios dé nuestro amado Soberano, estimuló al profesor de estar villa D. Juan GuerrérO Estrella á manifestar en im&lt;examen público el!diar2&amp;!debpasado;&gt;CDn motivo del próximo.y plausible dia de ■;&amp;. Mi &gt;r los rápidos adelontamientos de sus discípulos en Iqsí ramos de lacroi ambosidiomas íeasteflánajr latino, calografía, gramática española y or tografía,…</t>
  </si>
  <si>
    <t>Etna, Francisco de</t>
  </si>
  <si>
    <t>Francisco de Etna</t>
  </si>
  <si>
    <t>…dos recibos pertenecientes á Francisco de la Pe-^ ña, soldado de la Guarda vieja, y mercader de ropería de nuevo, unido &amp; Doña Mélbhora García, que tupieron por su hijo legítimo á D. Francisco de Etna,^pjérigo dé menores órdenes, yednos1 de esta corté, á quienes perte*^ nécé un;eensp. sobjré ,üna,cásá síta/eii íá cálle de Tólédb. iSeWontinúátá.y “' ^ y'j ■■ - i |. V. v. y . . . ,.;r 7 ;i __Por decreto de Jos seaores del Consejé Real de 18 del corriente , m…</t>
  </si>
  <si>
    <t>Eu</t>
  </si>
  <si>
    <t>…o lo cual tengo el honor de participar á V. E. para su superior conocimiento..= Lo que traslado á V. E. para conocimiento de S. M. ; recomendando el mérito distinguido del bizarro comandante D. Eu genio Arana , y el de la valiente oficialidad y tropa.de su columna, que se han batido con un denuedo inimitable, rechazando á un enemigo tan superior en numero y en armas, que posteriormente se ha sabido perdió mas de 500 hombres, y se vio forzado á retirars…</t>
  </si>
  <si>
    <t>Euge</t>
  </si>
  <si>
    <t>…e para asuntos polí ticos de grande Importancia. ■ "" Dicen que e! Emperador de Rusia ha tenido en Mergentheim de Franconia una larga conferencia con el &lt;¿uque de Leuchtenberg (el príncipe Euge nio ), que había ido á aquel punto desde Eichstett. Se habla en la Bélgica i&amp;V algunas mudanzas que se trata de hacer en el ministerio del Watersta-at, y de nuevas economías en el departamento de la guerra , y en lás pagas de los empleados públicos. Se asegur…</t>
  </si>
  <si>
    <t>Eugenio</t>
  </si>
  <si>
    <t>…s representantes * se les cita por el presente periódico., Cartas á Sofía, en prosa y verso sobre la Física, Química é Historia natural, tra ducidas del frailees al castellano pór D. Eugenio dé Tapia: tomo i.° Inspirar afi ción á las ciencias físicas y naturales, y hacer agradable su estudio, presentando á la imaginación los mas bellos cuadros de la naturaleza y es el principal objeto de la presente obra, la cual ha tenido en Francia tanta acepta…</t>
  </si>
  <si>
    <t>…D. Juan Josef Recacho: para Ja fiscalía del crimen de .la Real, audiencia.de Quito, vacante por ascenso de D. Vicente Rodríguez Romano á -la.-déalcalde del crimen de la de Lima, á D. Eugenio. Batanero: para la iplaz'ade gsesor del gobierno é intendencia de Qúamanga á D-. Mariauo Josef de Tapia y'Velarde para la plaza de te niente asesor dél gobierno é intendencia del Cuzco, vacante por promoción de D* Pedro López de Segovia á ministro de la audie…</t>
  </si>
  <si>
    <t>EX</t>
  </si>
  <si>
    <t>…de corregidor de esta muy heroica; villar, á quien está cometida dicha Real facultad, por la escribanía de numero de D. Tomas de San cha y Prado. . : En virtud' de providencia del Sr. EX. Angel Fernanderde los Ríos, del Consejo de S. Mi í teniente primero de corregidor de esta muy heroica villa, y escribanía del número al cargo de D. Anselmo Ordoñez, se venden dos casas sitas en esta cortea una en la cdle ancha de Avapies con accesorias á la…</t>
  </si>
  <si>
    <t>Excmo</t>
  </si>
  <si>
    <t>…ando en ella ¡el mayor orden, y al primer contramaestre de este buque Ventura Romero, que demostró su valor y actividad marinera en el pronto reparo de estas averías. Me lisonjeo, Sr. Excmo., qúe esta noticia será á V, E ,sumamente plausible y satisfactoria por ser el primer buque insurgente que se ha apresado en estps mares, y cuyo, parte circunstanciado del. suceso no he,dado á V. E. desde mí llegada á este puerto en la noche del 19 por. halla…</t>
  </si>
  <si>
    <t>…brán tenido muchas.áy^r irías ', seguri das que se Ies observaron, " la variedad de .sus mcwimientcis á las idos horas de fuego, y el acierto en los tiros. ■ ■ . r , 1 : M Todos,, Sr. Excmo., oficialidad, tropa, marineros, maestranza, com pañía de cargadores y naturales indios han estado llenos de aquel ardor-qjUe inspira la:dealtad enlcon.txaste;con da traición; especialmente: debo mucho al buen porte de la oficialidad, que siendo venüEinmeró,.…</t>
  </si>
  <si>
    <t>…tro flecheras y el esquife. V- E. conoce el va lor, la intrepidez y las recomendables circunstancias de D. Josef Guerrero: V. E. fue testigo en Margarita de su valor; sin embargo, Sr. Excmo., no puedo menos de recomendar por mi-parte en esta ocasión la utilidad del ser vicio que hizo á la causa del Rey dicho Guerrero; y al mismo tiempo aque lla modestia que en todas sus distinguidas acciones de guerra se advirrió siémpre en él, y que le hacen ac…</t>
  </si>
  <si>
    <t>Exntouth</t>
  </si>
  <si>
    <t>…E. Tiene el embajador unos 45 años de edad, aunque las barbas y el trage turco le hacen parecer mas viejo; llámase Ali-Reiss , y fue el que en Agos to de 1816, cuando el ataque de lord Exntouth, mandó la marina como ca pitán del puerto de Argel. Trae de secretario de legación un suizo llamado Josef Granees, y ademas otro secretario particular, un alfaqui turco, dos genízaros y ocho criados. También están ya en tierra los regalos que envía el Dey , l…</t>
  </si>
  <si>
    <t>F, Á.</t>
  </si>
  <si>
    <t>Á. F</t>
  </si>
  <si>
    <t>…e común de 150 pesos. Núm. 545. D. J. A. M. 212 rs. y 17 mrs; iNúm. 5:46* Las señoritas de Negrilla de $us alfileres/^í)Q*• Núm^-Í^47» D. N.‘ G. ióo. Núm. 548. D. N. 60. Núm. 549. D. Á. F.-zpp.-Núm. 550. Manuela Pachón 20. Núm. 551. D. N. 400. Núm. 552. Dos médicos fran ceses que pasan á Cádiz 80. Núm..5 53.JD. J..J. C. ¿o.'Niimb &lt; &lt;4- El Ilustrísirno Sr. obispo de Lérida, 640. Núm. 5 5 5&gt; El limo. Sr..obispo de Barce lona por una, vez, y por a…</t>
  </si>
  <si>
    <t>F, Angel</t>
  </si>
  <si>
    <t>Angel F</t>
  </si>
  <si>
    <t>En el juzgadq ^el Sr D. Angel F^rnto4^z c!e los R*os, del Consejo cíe S. M** primer teniente de corregidor de est$ íjiuy heroica villa, -y. por la. escribanía del número de D. Martin S^ntin y Vázquez, ha hecho dimisión de bienes £X Pedro He bra!-, vecino de ella, en favor de sus acreedores;…</t>
  </si>
  <si>
    <t>F, C.</t>
  </si>
  <si>
    <t>C. F</t>
  </si>
  <si>
    <t>…Núm. 440. D. J. J C. 34. A‘imiimo se han suscrito las personas siguientes: Número 37. D. Francisco Xavier y su hijo D. Julián, durante ?a epide mia, con 30 rs. mensuales. Núm. 38. Doña C. F , por ídem, con 2 rs. dia rios, Núm. 39. D. Josef Liona y su consorte Doña Josefa Liona, por ídem, con 30 rs. mensuales. Núm. 40. D. Genaro Rivas y Losa, por iduu, con a reales diarios. 1 -</t>
  </si>
  <si>
    <t>F, F.</t>
  </si>
  <si>
    <t>F. F</t>
  </si>
  <si>
    <t>…. D. J. Y. A. 320. Núm* 157. D. J. L. T. 60. Núm. 158. Doña N. 6. Núm. 159. Doña F. V* 100. Núm. ióq. D. A. R. Z. 100. Núm. 161. D. J. A. A. 120. Nú mero 162. D. N. 320. Núm. 163. D. F. F. 60. Núm. 164. D. N. N. 133. Núm. ió$. Pablo de la Cuesta 10. Núm. 166. D. Josef María de Pando 500. Núm. 167. D. K. Z. 20. Núm. 168. D. J. J, J. 332 rs. y 32 mrs. Núme ro 169. D. M. P. 20. Núm. 170. D. J. H. 120. Núm. 171. Doña M. B. iock N úm. 172. D. N. 20.…</t>
  </si>
  <si>
    <t>F, F. T.</t>
  </si>
  <si>
    <t>F. T. F</t>
  </si>
  <si>
    <t>…ña M. G. C. 20. Núm. 314. C. M. 1©. Núm. 315.M. de S.N. 1©. Nú mero 316. D. Miguel Gasa Juana 100. Núm. 317 . D. J..P. 100. Núm. 318. D. F. M. C. 4©. Núm. 319. D. N. 20. Núm. 320. D. F. T. F. 40. Núme ro 321. El Excmo. Sr. marques de Bélgida 320. Núm. 322. D. J. M. M. 60. Núm. 323. Doña E. M. 30. Núm. 324. Un ugier dé Cámara del Real cuar to y sérvidumbre del Rey nuestro Señor 80. Núm. 325. Los señores cuesto?res del cuartel de la Plaza 8757 rs. y…</t>
  </si>
  <si>
    <t>F, J.</t>
  </si>
  <si>
    <t>J. F</t>
  </si>
  <si>
    <t>…74, D. N. C. 320. Núm. 75. D. J. M. 60. Núm. 76. Don J. S. 160. Núm. 77. D. N. C. 20. Núm. 78. í). Josef Ribera 3C0. Núm'. 79. Los Sres. N. S. 800. Núm. 80. D. V. R. 20. Núm, 81. D. J. F. 100. Nú mero 82. Doñá M. E. E. 300. Núm. 83. D. J. IX. 60. Núm. 84. D. Josef de Urue 4 Núm. 85. D. Gregorio Sánchez Madrid iox Núm. 86. D. Y. M. M. 100. Núm. 87. D. Francisco Antonio Bringas 2©. Núm. 88. D. C. R. 20. Núm. 89. D. Manuel Guerra 200. Núm, 90. D.…</t>
  </si>
  <si>
    <t>1199</t>
  </si>
  <si>
    <t>…a villa de ¿Mondar, inmediatá. á ‘Málaga;, para ,1a mas iprontapercepcion;dé5dicha cantidad por parte de;S. I. . 4 * /Asimismo» se¡Jiáñ*suscrito.iloa sujetos siguientesú.Núin. 41. D. J. F.,¡du rante Ja epidemia^ can 2©¡ rs. semanales. Núm. 42. D. N- y D. J. A. ,;por •ídem., con 20 rs. mensuales: Núm. 43. Doña- María Josefa Espejo de -Foro, •por..idem* con 80-ídem. Núm. 44,: D. (Carlos Marehai^ poc/dem, con 20 rideimiNiun. .'4.5. D*vJoséf Rdtond…</t>
  </si>
  <si>
    <t>F, M.</t>
  </si>
  <si>
    <t>M. F</t>
  </si>
  <si>
    <t>…y para el bien de la religión y del Estado.” Continúa la lista de los sugetos que kan contribuido 3 y se han suscrito en Madrid para socorrer d los pueblos epidemiados. Núm. 107. Doña M. F. 80 rs. Núm. 108. D. P. N. 100. Núm. 109. Don</t>
  </si>
  <si>
    <t>F, P.</t>
  </si>
  <si>
    <t>P. F</t>
  </si>
  <si>
    <t>…4a. Núm. 174. Doña Eusebia de N. 20. Núm. 175. Doña Isabel Simón 40. Núm. 176. D. Juan Villena 40. Núm. 177. D. S. R. 300. Núm. 178. D. F. R. 30. Núm. 179. D. B. Y. 40. Núm. 180. D. P. F. 60. Núm. 181. Doña MaríaVindel, viu da, 20. Núm. 182. D. Miguel Carrera 20. Núm. 183. D. N., feligrés de San Andrés, 100. Núm. 184. D. N. 4. Núm. 185. Ei Sr. D. Josef Borbujo y Rivas, inquisidor de Toledo, en una letra dirigida por el correo al deposita-rio d…</t>
  </si>
  <si>
    <t>F, R.</t>
  </si>
  <si>
    <t>R. F</t>
  </si>
  <si>
    <t>*32$ abad y párroco dé S. Martin de Madrid, por limosnas recibidas de sus feli greses , 278 rs. y 10 mrs. Núm. 667. La Excma. Sra. marquesa de S. Adrián 640. Núm. 668. Doña R. F., por producto de un recibo de intereses de va les, 18 mrs. Núm. 669. Doña I. 20. Núm. 670. Una feligresa de S. Sebastian, por mano de su párroco ,30o. Núm. 671. E. E. S. C. de C. 500. Núm, 672. D. L. R. 20. Núm. 673. El‘Real monasterio de S. Benito de Sagunto…</t>
  </si>
  <si>
    <t>Falla, Gerónimo Santiustei y Se</t>
  </si>
  <si>
    <t>Gerónimo Santiustei y Se Falla</t>
  </si>
  <si>
    <t>…la misma contra la villa de Contrata y su tierra sobre -el pago del canon de 1 70 fanegas de trigo medidas por el marco'de Avila en el año 1570; refrendada del escribano de Cámara D. Gerónimo Santiustei y Se Falla émpergajúiriada. ' 9.0 Diligencias" de posesión á pedimento de María de Leguizamo, muger de Cristóbal Taboada, vecinos dé lá villa de Consuegra, de unas casas en dicha villa, que lindan con otras de Alejo González, y dejopedro Díaz de TqJedo y otros bienes, e…</t>
  </si>
  <si>
    <t>Fariñas, Rosendo</t>
  </si>
  <si>
    <t>Rosendo Fariñas</t>
  </si>
  <si>
    <t>…ga en la del T&gt;r. D., Jaime Alibau;.en Vigo en la del Dr: D. Julián Perez; en Santiago én la de D. Pedro Romero; enójense en la de D. Joaquin Vallverdu; en Betanzos en la, del Dr. D. Rosendo Fariñas;,-en ALcarjtjz en La de D. Ramon Villalba; en Caíatayud en ia de D. Lorenzo Gano Beirran; en Un Castillo en la de D. Paulino Gil; en Jaca en la de D. Josef Mora ; en Teruel en la de D. Antonio Herrero; en Zarago za en la del'Lie:’D» Mariano Herrando; en Alica…</t>
  </si>
  <si>
    <t>Fassia, Miguel</t>
  </si>
  <si>
    <t>Miguel Fassia</t>
  </si>
  <si>
    <t>…fante, D. Josef Aguirre, D&gt; Alonso Reina; D Josef Garci, D. Ramón Porta, D. Francisco Marín, D. Manuel Capace te , D. Josef Morales , D. Matías Michana, D. Gregorio de Casadevals, Don Miguel Fassia, D. Manuel Gómez, D. Miguel Reina y D. Manuel Rojas. - Valladolidá'S de Julio. • ! , n ;• / La Real sociedad económica de esta capital y provincia celebró ehlj/tardé del 26 del corriente la junta públicay solemne de distribución dé premios en las sidas coi.si…</t>
  </si>
  <si>
    <t>Faurgeron</t>
  </si>
  <si>
    <t>…813: desde esta época no hah tenido sus^parientes ninguna noticia de su paradero; y deseosos de saberlo, suplicar á quien tenga nVticfáé d'c él se sirva co municarlas á Burdeos al Sr. Faurgeron, que vive calle de TannerieS/número 6 , püe^ tiene que participarle asuntos de familia del mayor ínteres, al paso cjúe sus pacientes' podrán salir de la aflicción en que se encuentran. Para adquirir noticia del paradero de unos títulos de propiedad se desea.s…</t>
  </si>
  <si>
    <t>Fausto, Rafael</t>
  </si>
  <si>
    <t>Rafael Fausto</t>
  </si>
  <si>
    <t>…dra, comisa rio ordenador honorario; al conde de Regla marques de S. Cristóbal, gentil» .hombre dq Cámara ; D. Antonio López de Haro, alguacil mayor y regidor perpetuo de Alcaraz; D. Rafael Fausto,Florín,, intendente graduado de pro vincia D. Josef Vázquez Ballesterps, fiscal del Consejo supremo de Ha cienda; D. Luis de Peñalvervecino.de la Havana; D. Domingo Surga, se gundo teniente del primer regimiento de Reales guardias de infantería; Don Vicente M…</t>
  </si>
  <si>
    <t>Fe</t>
  </si>
  <si>
    <t>…mar los créditos que les pertenezcan en la audiencia del Sr. D. Angel Fernandez de los Ríos, primer te niente corregidor de esta muy heroica villa, por la escribanía del número de D. Fe liciano del Corral; apercibidos que de no veriñcarlo Ies parará el perjuicio que haya lugar, En la curia episcopal de la diócesis de Osma se está siguiendo causa en razón de que se declare vacante la capellanía del número y coro que en la santa iglesia de di…</t>
  </si>
  <si>
    <t>Fé</t>
  </si>
  <si>
    <t>…argento , un ca bo y nueve, soldados heridos; de, los Cazadores montados .un herido y dos dé ís parrida dél país. ,, De los emigrados que se me presentaron solo han llegado á este D. Fé lix Horno y D. Francisco Cueto ,; pues los demas luego que vieron lá reúníoa de los enemigos, y oyeron que la plaza estaba por estos, se fugaron creídos qjie la suerte de mi expedición seria. desgraciada. ,, También tengo en calidad de presos un fraile franci…</t>
  </si>
  <si>
    <t>Febrer, Manuel</t>
  </si>
  <si>
    <t>Manuel Febrer</t>
  </si>
  <si>
    <t>…á 38 rs., en pasta fina á 20, y en pasta regulará 16; y el mis mo egereicio sin-estampas'y canda portada grabada á 8 rs. en pasta.' Oda áj la-nobleza-y-educación, compuesta por el coronel D. Manuel Febrer de la Torre, teniente de rey de la plaza de Alicante, socio de la Reai sociedad econó¿ mica matritense de-Amigos.del pais ‘&amp;c. '&amp;c.'Esta pequeña composición poética, ori ginal en su clase, .interesa - tanto por la útil moralidad que encierra, como por la sen^…</t>
  </si>
  <si>
    <t>Federico</t>
  </si>
  <si>
    <t>1084</t>
  </si>
  <si>
    <t>…en Noviembre sobre los intereses de la Confederación. BA VIERA. Nuremberg 2 de Octubre• El 26 de Setiembre celebró la corte de Saxonia con una fiesta muy lucida el matrimonio del príncipe Federico, que se verificó por poderes en Viena aquel mismo dia. Aguardan en Dresde á la augusta novia para el 6 de Octu bre, y se celebrará su entrada con toda solemnidad. Ha salido de Dresde toda la guarnición á reunirse con las tropas que hay en los contornos de Dip…</t>
  </si>
  <si>
    <t>Fedriani</t>
  </si>
  <si>
    <t>13</t>
  </si>
  <si>
    <t>13 Roma 29 de Noviepibr*. El caballero Fedriani ha escrito desde el Cairo al redactor del periódico que se publica en esta capital con el titulóle Noticias dd día, suplicándo le inserte el siguiente artículo que dice se ha publicado en la gaceta de Consíantinopla. }íTor&gt; en la Arabia Petrea, ij de Mayo de…</t>
  </si>
  <si>
    <t>Felduer</t>
  </si>
  <si>
    <t>Rio Janeiro, á cuyo bordo viene el teniente coronel Felduer, que apenas desembarcó se puso en camino para Viena, á fin de comunicar á la familia imperial la noticia agradable de que la Princesa Real de Portugal, hija del Emperador de Austria, había dado á luz una niña con toda felicidad. Idem 5. Ha cumplido su cuarent…</t>
  </si>
  <si>
    <t>Feli</t>
  </si>
  <si>
    <t>…oñsejo deS.M., teniente corregidor dé esta muy heroica villa, su fecha .20 de Enero último» se ha mandado, entre otras cosas, llamar y emplazar, como se egecuta por el presente, á Doña Feli pa. Aívarez, viuda de D. Lorenzo Miguel Monasterio, y: á sus .dos hijos D. Domin go Antonio y Doña Juana Monasterio, y á los herederos y sucesores de una y otros para qüe en&gt;¡el término*de 30 cóntados desde dicha fecha, comparezcan en el juzgado de S. S. y, e…</t>
  </si>
  <si>
    <t>Felipa</t>
  </si>
  <si>
    <t>…de corregidor de esta muy heroica villa D. Manuel Josef Rubio, su fecha 14 del corriente, refrendada del escribano del número D. Juan Antonio de Urraza, se cita» llama y emplaza á Doña Felipa de lambiera, para que en el preciso término de 30 dias acuda.á dicho juzgado por sí ó por medio de procurador, con poder bastante, á-decir y exponer lo que tuviese por conveniente en los autos formados a instancia de D. Lorenzo de Palacio y Gorvea, vecino y d…</t>
  </si>
  <si>
    <t>…e S. S. y, escribanía de Dj Alfonso de Yévenes,, á decir sobre el derecho que puedan tener á la pertenencia de seis acciones de la Real compañía de Filipinas qué enagenó la citada Doña Felipa como tutora de sus dos hijos. En virtud de providencia del Sr. D. Manuel Josef Rubio, del Consejo de S. M.t teniente corregidor de esta muy heroica villa, se cita para junta general, que ha de celebrarse en la posada de S. S. el,dia’21 del corriente á la hora…</t>
  </si>
  <si>
    <t>…año de 178 ¿ pasó á la América en un regimiento de infantería. La per sona que tuviese noticia cierta de dicho D. Juan, ya sea muerto ó vivo, se servirá comunicarla á la referida Doña Felipa, que reside en Valencia, casada con el capitán D. Pedro Andrés Gómez, á quien se dirigirá el sobre de la carta en la misma ciudad de Valencia. Nota, En algunos egemplares de la gaceta, anterior pág.; 10*7, lín. 35/donde dice 1 r de Setiembre, debe decir 11 de…</t>
  </si>
  <si>
    <t>Felipe</t>
  </si>
  <si>
    <t>…sin necesidad de otro llamamiento. Ordenanzas de la ilustre universidad y casa de contratación de la M. N. y M. I» villa de Bilbao", aprobadas y confirmadas por las magestades dél Sr. D. Felipe v e* 2 de Diciembre de 1^37 y D. Fernando vir en 27 de Junio de 1814^ con inserción de los Reales privilegios, y la provisión de 9 de Julio de 1818, que contiene las al teraciones hechas á solicitud del mismo consulado y comercio sobre los números 3.% 5.0, 8.…</t>
  </si>
  <si>
    <t>…es para que fuesen, sepultados con la solemnidad acos tumbrada, la que fue leída en alfa voz por el R. P. diputado secretario, el cual manifestó al mismo tiempo la Real cédula del Sr. D. Felipe iv, en que fue decidida^la controversia que había entre la Reai capilla y el monasterio con respecto á la celebración en este de funerales de Personas Reales. La comunidad entonó el Miserere, durante el cual (retirada la Real capilla, y también los re ligioso…</t>
  </si>
  <si>
    <t>Félix</t>
  </si>
  <si>
    <t>…jo días, contados desde el de la publicación. D. Cayetano, D. Andrés,,Doña Ines, Doña Petronila y Doña Manuela Benito solicitan se íes declare^ herederos abintestato de su hermano D. Félix, vecino que fue de esta muy heroica villa; y por providencia del Sr. D. Angel Fernandez de los Ríos, del Consejo de S. M., teniente primero de corregidor de ella, refrendada deí escribano de su numero D. Martín Santón y Vázquez, se ha mandado llamar, citar y…</t>
  </si>
  <si>
    <t>Fenelon, Francisco Salignac de</t>
  </si>
  <si>
    <t>Francisco Salignac de Fenelon</t>
  </si>
  <si>
    <t>Gaceta de Madrid n.º 109</t>
  </si>
  <si>
    <t>…corte y su calle del Burro, y está tasada en 29,431 rs, y í/ynrs^vn. ; , . , . - ,, . . Demostración’de la existenpia de Dios y de sus atributos, que escribió en francés el Bxcmo. Sr. Francisco Salignac de Fenelon, arzobispo duque de Cambray , tradu cida al castellano: un tomo en 8.° Se hallará en las librerías de Matute y Rodríguez, calle de las Carretas. Diversidades morales, ó entretenimiento de la razón, traducidos del francés por D. Antonio Montero y Sta. Colomba;…</t>
  </si>
  <si>
    <t>Fer</t>
  </si>
  <si>
    <t>…Josef Aguado, escribano Real en esta córte. 21. Testimonio de úna escritura de imposición de censo, otorgada por Doña Beatriz Ramírez de Mendoza, condesa del Castellar , viuda de D. Fer nando Ramírez Saavedra, de 6® ducados, en favor de D. Juan Valle de Medrano y Doña Manuela de Osma su muger, sobre sus bienes y rentas, fecha en esta corte á 21 de Junió dé 1617 ante el escribano Francisco Testa. Por providencia del Sr. D. Manuel Josef de Arb…</t>
  </si>
  <si>
    <t>…a de los mejores autores nacionales y extrangeros, redactada y dedicada,por los editores á los amantes de la buena música. Número i.°: contiene un andante sentimental y un waís de D. Fer nando Sor. Esta obra .periódica se compone de uno ó dos pliegos prolongados de mú sica impresa, y se publicará un número caía mesi. La conocida afición á este instru mento nacional, y los. crecidos pedidos que de esta clase de música continuamente se reciben…</t>
  </si>
  <si>
    <t>…yordomo "del gremio de mar desde la popa de la lancha j* cuyo ‘timón' nunca' 'desamparó, pidió silencio, ál público, y en alta voz, quitada su gorra, brindó á la salud de S. M. el Sr. D. Fer nando vii nuestro dignísimo Soberano; á cuya demostración los marineros remeros quitándose también sus sombreros gritaron por tres veces viva el Rey. En. seguida dichó, maestre ele ,1a lancha brindó por la salud del Sr. Infante D. Carlos,y la SéfmaóSra... Inf…</t>
  </si>
  <si>
    <t>…rada en 10 del propio mes. Por providencia del Real tribunal del consulado de Cádiz, y por la escribanía •del cargo de D. Elias Izquierdo, penden autos de concurso de acreedores á D. Fer nando Saenz yS. Vicente, en los que por decreto del día 19 de Abril de este ano se ha mandado citar y emplazar á cualesquiera que se estime con derecho á la masa de dicho concurso para que en el perentorio término de un año, contado desde la fecha de la publi…</t>
  </si>
  <si>
    <t>Fer, Angel</t>
  </si>
  <si>
    <t>Angel Fer</t>
  </si>
  <si>
    <t>…alidad de que de dicho precio se hayan de deducir los capitales de cargas que tenga y réditos de los mismos que se están debiendo. Quien quisiere hacer alguna mejora acuda ante el Sr. D. Angel Fer nandez de los Rios, del Consejo de S. M., y teniente primero de corregidor de esta muy heroica villa, por la escribanía de D. Jacinto Gaona y Loeches, que se admi tirán las que se hicieren siendo arregladas; en la inteligencia de que para su remate está señal…</t>
  </si>
  <si>
    <t>Fer, Domingo</t>
  </si>
  <si>
    <t>Domingo Fer</t>
  </si>
  <si>
    <t>…la condesa de la Tour. &amp; A. sigue sin la menor novedad en su importante saludé Madrid 21 de Mayo.. A R Tí cru IO DE OFÍC'í O. El Rey se ha servido conceder á D. Josef María Puig, D. Domingo Fer nandez: Campománes y D. Ignacio. Martinez.de Villeía, ministros del Con sejo Real ,, plazas en el de la Cámara Asimismo se ha dignado nombrar S. M. para una plaza del Consejo Real a. D. Joaquín Sistemes, ministro que era det Supremo de la Guerra: para la rege…</t>
  </si>
  <si>
    <t>Fer, Francisco</t>
  </si>
  <si>
    <t>Francisco Fer</t>
  </si>
  <si>
    <t>…málóapan Octubre 4 de; 1818.= Eédro Miguel Monzon. = Sr. capitán y comandante D/juan Bautista Topete.” : . Idem 3 de Diciembre* Oficio del teniente coronel y comandante accidental D. Francisco Fer~ nandez de Aviles. . . . ,,Excmo. Sr.: Paso á las superiores manos de V. E. el parte que Je ofre cí en mi oficio núm. 30 de la acción que el capitán del batallón dél Sur gra duado de teniente coronel D. Josef Martínez tuvo el diá 31 del pasado ¡con tra los re…</t>
  </si>
  <si>
    <t>Fer, Manuel</t>
  </si>
  <si>
    <t>Manuel Fer</t>
  </si>
  <si>
    <t>…1 2 rs. cada estampa de cuatro retratos. , ■ • Oración fúnebre por Ja Reina nuestra Señora Doña María Isabel Francisca de Braganza, predicada en la iglesia catedral de Lugo por el Sr. D. Manuel Fer nandez Vavela, predicador de S. M., de su Consejo, y deán de aquella santa iglesia, adornada de una rica viñeta, y con varias notas interesantes sobre el mérito y virtu des de la difunta Reina. Se hallará en la librería de Castillo, frente á las gradas de S.…</t>
  </si>
  <si>
    <t>Fer, María Antonia</t>
  </si>
  <si>
    <t>María Antonia Fer</t>
  </si>
  <si>
    <t>…oneros y caballos que dejaban abandonados-en su fuga.” El dia 6 de Enero del presente año, á las 9 y 45 minutos de la mañana, falleció en esta corte y Real palacio la Exorna. Sra. Doña María Antonia Fer nandez de Córdoba, Espinóla de la Cerda y Sarmiento, condesa de la Pue bla del Maestre, á los 53 años y 9 días de edad, camarera mayor de dicho Real palacio, dama de la Reina Doña María Luisa de Borbon y de su Real orden: era hija de los Excmos. Sres. D Juan…</t>
  </si>
  <si>
    <t>Fer-</t>
  </si>
  <si>
    <t>…ñalados, quedaron; plenamente satisfechos ios noncurrentes. Madrid 22 de Febrero. A R,;T 1 C •Ü-'Li'O 'pí-B O-l-'O. El Rír nuestro Señor- se1 ha servida conceder -su^Reabpermiso á D. Fer-</t>
  </si>
  <si>
    <t>Fer-, Santiago Vicente Masarnau y</t>
  </si>
  <si>
    <t>Santiago Vicente Masarnau y Fer-</t>
  </si>
  <si>
    <t>…s de secretarios del Rey. A D. Josef de la Torre y Sainz, y D. Francisco Blasco y Tejedor. Plazas supernumerarias de gentileshombres de la Real casa. A D. Manuel Sainz de la Maza; D. Santiago Vicente Masarnau y Fer-</t>
  </si>
  <si>
    <t>Fermín</t>
  </si>
  <si>
    <t>…. Fernando vi», ó colección de Reales resoluciones expe didas por los diversos Ministerios y Consejos en todo el ano de 1818: tomo g.°, dispuesto, en virtud, desorden de S. M. por D. Fermín. .Martin de Eálmaseda. la obligación que todos tenemos de cumplir exactamente las disposiciones de S. M. para el .mejor orden de las cosas hace tanto más recomendable la colección de Rea les resoluciones, cuanto qué $Ícndó;distiritas las causas que las promue…</t>
  </si>
  <si>
    <t>Fernan, Angel</t>
  </si>
  <si>
    <t>Angel Fernan</t>
  </si>
  <si>
    <t>…d de Piñeiro, reino de Galicia, ei día 18 de Diciembre de 1817, se ha solicitado por parte de uno de sus ochoTiermast'os se les declarase por herederos; y por auto proveido por el Sr. D. Angel Fernan dez de los Ríos, del Consejo de S. M., teniente corregidor de esta muy heroica vi lla, ante el escribano de su numero D. Tomas de Sancha y Prado, se ha mandado entre otras cosas se cite y emplace á cualesquiera personas que sé crean con derecho á los bienes d…</t>
  </si>
  <si>
    <t>…nicipal.de farol y Real de aposento que gravita :sobre la misma; y para su nuevo remate se ha señalado el dia 14 del corriente , entre doce y una de su mañana, en la audiencia del Sr. D. Angel Fernan dez de los.Ríos, del Consejo de S. M., teniente primero de corregidor detesta muy heroica villa, y escribanía del número de D. Anselmo Ordoñez. En la villa de Orellana la vieja, provincia de Extremadura, se ha establecido tíná plaza de cirujano, con preferenc…</t>
  </si>
  <si>
    <t>Fernan, Mariano</t>
  </si>
  <si>
    <t>Mariano Fernan</t>
  </si>
  <si>
    <t>…D. Juan Labastida y Bustamante, D. Vicénfe MazeyLizknn de Cano Manuel, D. Cayetano Vivanco y Young, D Josef Avila y Miranda, Don Antonio Ibañez y Ortega, D. Gregorio Aso Travieso, D. Mariano Fernan dez Tejeiro, D Bartolomé ,Gil de Padilla, D. Francisco Ugarte y Epalza, D. Jo«ef Ibañez y Ortega, D. Joaquín Gutiérrez Peña, D. Fernando Guerra de la Vega y Callantes7, D. Josef Gómez y Quintana, D Manuel JLoigorrj y González, y el soldado distinguido-D..Deog…</t>
  </si>
  <si>
    <t>Fernanda</t>
  </si>
  <si>
    <t>…la Sermá. Sra. Infanta Doña Luisa Carlota de Borbon, Hija de los Sermos^ Sres. Duques de Calabria í&gt;* Francisco y Doñá María Isabel de Borbon, y Nieta del muy alto y muy poderoso Sr. D. Fernanda 1, jRey del reino.de las.Dos Sicilia^,. D. Nicolás Centurión y .Vera’, marqués de: la Lapilla y Monesterio, grande de España, caballero de la insigne orden del Toison de Oro , gran cruz de la Real y distinguida orden de Carlos nr i y dela de S. Genaro dé Ñápe…</t>
  </si>
  <si>
    <t>Fernandez, Agustín</t>
  </si>
  <si>
    <t>Agustín Fernandez</t>
  </si>
  <si>
    <t>820 *:•: Fuero» agraciados. IX' juan.-Fayola ,. XX Frañciseci Xavier •'Moraferj Don - Francisco Teran Ruiz y D. Agustín Fernandez «con las obras de Mogo; BFaír: -D. Josef García. Vidal EX Josef GomezHormigo y D. Juan Boíaños Lancha, con las reflexiones de Muratori sobre el buen:gasto,s.D¿ Juan de Qoíntanilla, D. Roque Alcon, D. Pedro Romero Balmasecta y D. Florencio Sánchez Pa vón, con…</t>
  </si>
  <si>
    <t>Fernandez, Alonso</t>
  </si>
  <si>
    <t>Alonso Fernandez</t>
  </si>
  <si>
    <t>…iones instructivas delirarte: EX Gaspar Angulo y Aguado, con los eleiáehtos de retórica &gt;y poética de Araujot iD. Francisco de Pimía Ro.driguez, con la clave geográfica deiFiorez: D. Alonso Fernandez , con las‘fá bulas de Samaniego: D. Josef de Quintanilla, con las de Triarte r D. Manuel de la Serna ;y Ascáráte, con la gramática de la academia españolar D. Andrés .Cor'sitip de Salas,, con la ortografía de la misma: D. Tomas García, con la co lección de au…</t>
  </si>
  <si>
    <t>Fernandez, Andrés</t>
  </si>
  <si>
    <t>Andrés Fernandez</t>
  </si>
  <si>
    <t>…Olavarria; el segundo por Q. Manuel López Maestre en Madrid á 27 de Mayo de 1814 á D. Alejandro Josef Amirola; el tercero por D. Mateo Gil de Sola en ídem á i.° de Abril de 1814 a D. Andrés Fernandez; el cuarto.por el mismo Sola en 20 de Ma yo del propio año á D. Ignacio Suarez; el quinto ídem ídem ; el sexto ídem Idem, y el séptimo porD. Pedro-Sebastian Perez en Sevilla á 25 de Abril de 1814 a Doña Jo sefa María Colarte. Y asimismo se cita á los tenedore…</t>
  </si>
  <si>
    <t>Fernandez, Angel</t>
  </si>
  <si>
    <t>Angel Fernandez</t>
  </si>
  <si>
    <t>…vn., que con arreglo al artículo 3 .0 de la ?ndsma circular debía disfrutar como quinta parte de loa 1.2© que gozaba cuando ..ceso en aquel i.destino¿; • -r—r Por providencia del Sr. D. Angel Fernandez de los Ríos, del Consejo de S. M.„ teniente i.° de corregidor de esta muy. heroica villa, y escribanía del numero que égerce D. Anselmo Ordoñez, dada en éste .dia á solicitud de D. Josef Antonio Ro dríguez. Siuarez y Cerreda, escribano de S. M., y agente de-n…</t>
  </si>
  <si>
    <t>…íguez, que falleció sin hijos ni herederos legítimos en 5. de Enero de 1811, para que dentro del término de 30 dias, contados desde la pu blicación de este anuncio, acudan ante el Sr. D. Angel Fernandez de los Ríos, del Consejo de S&gt; M., teniente corregidor de esta muy heroica villa, por la escribanía de, número de D, Claudio Sanz, á deducirle y exponerle en legal forma; con apercibi miento de q^ie pasado¡ dicho término sin m,aceitarles ni emplazarles se pro…</t>
  </si>
  <si>
    <t>…Josef Antonio Campos, para que dentro del preciso término de 6o dias, contados desde la de este aviso, comparezcan á reclamar los créditos que les pertenezcan en la audiencia del Sr. D. Angel Fernandez de los Ríos, primer te niente corregidor de esta muy heroica villa, por la escribanía del número de D. Fe liciano del Corral; apercibidos que de no veriñcarlo Ies parará el perjuicio que haya lugar, En la curia episcopal de la diócesis de Osma se está siguien…</t>
  </si>
  <si>
    <t>…el despacho déla imprenta Real. Se suscribe en dicho despacho , y en las provincias en todas las ad ministraciones principales y agregadas de correos. En virtud de providencia del Sr. D. Angel Fernandez de los Ríos, del Con sejo de S. M., teniente primero de corregidor de esta muy heroica villa, se cita, llama y emplaza á D. Juan Poleresqui y D. Juan Muga Villamor, cuyo paradero se ignora, para que dentro de 30 dias, contados desde el 5 del corriente, acudan…</t>
  </si>
  <si>
    <t>…r y escribanía dentro del término de 30 días, con tados desde el 5 del corriente, que se admitirán las que hicieren siendo arregladas. En virtud de Real facultad y providencia del Sr. D. Angel Fernandez de los Ríos, del Consejo de S. M., teniente corregidor de esta muy heroica villa, por la escriba nía del número de D. Cristóbal de Vicuña, se ha mandado subastar la casa calle de Jacometrezo, núm. 11, manz. 365, que tiene de sitio 1627 pies y cuarto, tasada e…</t>
  </si>
  <si>
    <t>…as sitas, en la. calle de la Espada , del capital de igoo^ ducados, otorgada en 13 de Di ciembre de 1592 ante el escribano Juan de Caraba jal. {Se continuará..;) Péreljuzgado ¡del Sr. D. Angel Fernandez de los Ríos,‘del Come jo dé S. Mi, y teniente corregidor de esta ¡muy heroica -villa, se cita, llama y emplaza ! D. Bonifa cio' y-D/Férmln Doz, á An de'que pfe/sónálmente o por medio de procurador'! con fcuficienté poefer , dentro deí térrhmode 30 días compar…</t>
  </si>
  <si>
    <t>…llamarles se determinará definitivamente, dando á cada cual el grado y antelación que según lo que resulte merezca / parándoles el perjuicio que hubiese lugar. Por providencia del Sr. D. Angel Fernandez de los Ríos, del Consejo de S. M., teniente corregidor de esta muy heroica villa, su fecha 20 de Enero último, se ha mandado entre otras cosas llamar, como se egecuta por el presente, al R. P. Fr. Fran cisco Javier Aguiriano, monge cartujo del monasterio de M…</t>
  </si>
  <si>
    <t>…ncepto de que se expedirán los equivalentes consolida dos y no consolidados i la posible brevedad j lo que se avisa al publico para su inteligencia y gobierno. Por providencia del Sr. D. Angel Fernandez de los Ríos, del Consejo de S. M., primer teniente de corregidor de esta muy heroica villa, se cita, llama y emplaza á Don Fernando Antonio Moran, á fin de que personalmente, ó por medio de procurador con suficiente poder, dentro del término de g o dias preci…</t>
  </si>
  <si>
    <t>^ 3r3 En el juzgado de esta muy heroica villa , que actualmente despacha el te niente corregidor D. Angel Fernandez de los Ríos, se promovieron y haq-se guido autos á demanda que interpuso el Sr. D. Josef de Baqueano , con'de que fue de Vistaflorida, y han continiiado porpsii fallecimiento sús sobraos carnales, 4 quienes' representa P..Miguel de Nájejna,por'el concepto de…</t>
  </si>
  <si>
    <t>…jo supre mo de S. M., se han servido mandar se pybJIjquepor tres dias más, á cuya virtud se ha señalado para el nuevo remate el; día 3 de Abril próxirpo en la audiencia del se ñor D. Angel Fernandez de los Ríos, deJ Consejo de , teniente corregidor df esta muy heroica villa, ante el escribano de su numero D, Juan. Raya. En virtud de providencia del_$r. T5. Angel Fernandez de los Ríos, del Qmsejb de S. M. . teniente primero de cóixegidor dé está muy héroi…</t>
  </si>
  <si>
    <t>…íds 5® níáifiéros ^rémiaéos con 20 pesos fuertéáícada^n6 son todos los ~c©mpréñdídbs' enTá'’ sedcioiT’dfef'!i foói al -2ó$V ambos'inelüsivé.í J i-'j M..- • o».. Por el juzgado del Sr. D. Angel Fernandez de,los Ríos, del Consejo de S. M.# y teniente primero,de. corregidor de esta muy heroica vijla, y escribanía del número de D. Vicente'de la,Costa» penden autos proinovidorá instancíádel mayprdomo de Jabrica de lai }gU$ía ¡parroquial de S.’Ándres de esta ¿orte…</t>
  </si>
  <si>
    <t>…ia de Juan» viuda de Francisco Rossique, na tural y vecina qué fue dé esta corte , hija de Pedro Juan y de Luisa Antón ,1 acudirán ~á deducirlo y exponerlo en debida forma ante el Sr. D. Angel Fernandez de los Ríos, del Consejo de S. M., primer teniente corregidor de esta muy heroica villa, y por la escribanía de número de D. Claudio Sanz, dentro del preciso término de 30 diasfc con apercibimiento de que pasados, sin mas citarles ni emplazarles se accederá á…</t>
  </si>
  <si>
    <t>…es que ascienden á 77,940 rs.; y para su remate se ha señalado el día a8 del corriente en la audiencia de dicho señor juez , y hora de las 12 y media en punto. Por providencia del Sr. Angel Fernandez de los Ríos, del Consejo de S. M., teniente corregidor de esta muy heroica villa,se ha señalado el día 1 2 de Mayo pró ximo de doce i una de su mañana en las puertas de su audiencia para el remate dé la hacienda, sita en el partido nombrado el Navazo blanco ,…</t>
  </si>
  <si>
    <t>…s excelentes propiedades medicinales han dado tanto crédito y estimación á los baños de Archena ' desde lá mas remota antigüedad._______ • , - • ■ : r En virtud de providencia del Sr. D. Angel Fernandez de los Ríos, del Consejo dé S. M., teniente primero de corregidor de esta muy heroica villa, y por la escri- ‘ banía de numero de D. Tomas de Sancha y Prado, está mandado sacar á subasta pa-" ra pago de acreedores, para cuyo remate se ha señalado el dia 8 del…</t>
  </si>
  <si>
    <t>…para él el día 11 dé Junio próximo, á la hora de las 11 de sú mañana, en la audiencia de dicho señor, sita en la calle y casa de la Cruzada, cuarto principal. Por providencia del Sr. D. Angel Fernandez de los Ríos, del Consejo de S. M., primer teniente de corregidor de esta muy heroica villa, refrendada del escribano de su número D. Martin Santin y Vázquez, se ha mandado sacar á pública subasta por término de 30 días una casa tahona; sita en esta cortfc y s…</t>
  </si>
  <si>
    <t>…uzgado en el preciso término de 30 dias á deducir su derecho j previniendo que de no haeé#k&gt; les parará el per juicio que haya lugar. Por providencia del señor teniente corregido* D. Angel Fernandez de ios Ríos* dada en este dia por la escribanía del número de D. Vicente de la Costa, se ha mandado sacar á pública subasta por el térmire de la ley una casa situada en la ca lle de la Maderá alta, núm. 11 , de ia man?. 463 , á instancia de D. Blas Menen— dez…</t>
  </si>
  <si>
    <t>…ara noticia y gobierno del público. ^____________-_______________ *_________________________&gt;_____________________ _____ y - | _■•'.■ rt ' • ' _______ . -inrui Por providencia del Sr. D. Angel Fernandez de los Rios, del Consejo de S. M., teniente corregidor de esta inuy heroica villa, refrendada-del escribano de su iuíhkk ro D. Martín Satitln y Vázquez-, se ha señalado él día 15 del corriente,_dc doce ¿ una,enla audiencia de S. S. para el.remate.de la casa-t…</t>
  </si>
  <si>
    <t>…sada en a*9 rs.' Quien quisiere hacer algun^ postura acuda ante dicho señor juez y citada es cribanía , que se admitirán fas que se hicieren siendo arregladas. Por providencia del Sr. D. Angel Fernandez d}e los Ríos , del Consejo de S. M., y teniente primero dé corregidor de esta muy heroica villa , refrendada por su escribario del número D. Jacinto Gaona' y Loeches, se ha mandado sacar 4 pública subasta un.sitio erial en la calle de Hortaleza, núm a , roanz…</t>
  </si>
  <si>
    <t>…S. A. había resuelto salir de Chin-&gt; chilla el 5 para hacer noche^n Minaya. - , .c, , 1 ""* ........... " *—**— ""*....... —«ni v ' 1 'impV.;" 1 f i;; iiiiirj Por providencia del Sr. D. Angel Fernandez dé los Ríos, del Consejo de Si M ; primer teniente dé corregidor de esta muy heroica villa; refrendada del escribano de su numero D. Martin Santin y Vázquez, se ha mandado sacar á pública subasta, por término d© 30 días, una casa en el Real sitio de S. Ildefo…</t>
  </si>
  <si>
    <t>…edad. ‘ . En la gaceta del sábado 1 2 del corriente se insertó una providencia citando í los acreedores de D. Henrique Peñalosa para ijue concurran á lá junta acordada en casa del Sr. D. Angel Fernandez de los Ríos, teniente corregidor de esta~viüa, a tas ochó de la mañana del día 26 de Junio, debiendo decir de Julio próximo t que ai el mes señalado para dicha junta. ■ ‘ " ‘ EN LA IMPRENTA REÁL.</t>
  </si>
  <si>
    <t>…nido del referido des pacho y citada escribanía; con apercibimiento que pasado se devolverá al juzgado donde dimana, y le parará él perjuicio que haya lugar. , Por providencia del Sr. D. Angel Fernandez de los Ríos, del Consejo de S. M., teniente primero de corregidor de esta muy heroica villa., se cita, llama y emplaza á los acreedores á los bienes dimitidos por D. Vicente Tiller Folc de Cardona y su muger Doña Joaquina Paredes, en 13 de Noviembre de 1798,…</t>
  </si>
  <si>
    <t>626 En virtud de providencia de! Sr. D. Angel Fernandez de losRioa, de!? Consejó de S. M., teniente primero de corregidor de está muy heroica villa,' se saca á publi ca subasta por término de 15 días, contados desde 17.de! corriente una casa sita eiiel lugar de Carabanohel de abajo?» cpn destinó á fábrica de jabón…</t>
  </si>
  <si>
    <t>…eñalada con el número 15, que consta dé 4284 pies: fue tasada.en 134,289 rs., y se remato en 151,309. Quien quisierehacer mejora acuda al juzgado del señor teniente de corregi dor D. Angel Fernandez «de los Ríos, .y escribanía del número de D. Mártiri Santin y Vázquez; en el concepto de que el nueva reñíate sé Ha dé celebrar el último de los echo dias siguientes al en que se inserte esté anuncioy sí fuére"feriado en el sucesivo. Por providencia del Sr. D…</t>
  </si>
  <si>
    <t>…ellos lo verificará en dicha audiencia y escribanía, ddnde se admitirán siendo arregladas. El señor marques de Montemasi y de Rocca Federighi D. Vicente Salucí ha acu dido ante el Sr. D. Angel Fernandez de los Rios, del Consejo de S. M., primer te niente corregidor de esta muy heroica villa, y por la escribanía del numero cíe Don Bernardo Diaz de Antoñana, exponiendo que por el secuestro sufrido en el año de 1805 por causa formada por la Real Hacienda, tanto…</t>
  </si>
  <si>
    <t>…rsona quedograse mejo rar este invento ó sus aplicaciones pueda obtener privilegio de semejante na^ turaleza, si S.' M. tuviese á bien concederle*.” • Én virtud de providencia del Sr. D. Angel Fernandez de los Ríos, del Consejo de S. M., teniente primero de corregidor de está muy-heroica villa, refrendada por e|’escribano del número que despacha la escribanía vacante , se ha señalado para Ja célébracion de una junta general de acreedores de Josef Rodríguez ,…</t>
  </si>
  <si>
    <t>…istinguió antes con el número 5 de la manza na 423 , que contiene una' superficie de 5121} pies, tasado en 51,219 rsvvn, (Je continuará, y ~ - ' 1 ' f En virtud de providencia del Sr. D. Angel Fernandez de lós Ríos, del Conseja de S. M., teniente primero de corregidor de esta heroica villar refrendada de IX Tomas de Sancha y Prado, por cuyo juzgado y escribanía se siguen los-¿utos dé1 ¿estaméñ' taría de los señores condes de Montarco, se convoca á jit-nta ge…</t>
  </si>
  <si>
    <t>…Ines, Doña Petronila y Doña Manuela Benito solicitan se íes declare^ herederos abintestato de su hermano D. Félix, vecino que fue de esta muy heroica villa; y por providencia del Sr. D. Angel Fernandez de los Ríos, del Consejo de S. M., teniente primero de corregidor de ella, refrendada deí escribano de su numero D. Martín Santón y Vázquez, se ha mandado llamar, citar y emplazar, como se hace, á cualesquiera otras personas que se hallen con derecho á dicha…</t>
  </si>
  <si>
    <t>…e de la dehesa .del RinCop,ó del ¡Cabalgador, en: término de Alfar Jpz ,,ra^a&lt;la ep, 3 20$). rs., está señaladq el sábado 31 corriente , á la hora dé las 1 a, én ja audiencia" del Sr. D. Angel Fernandez dé lps Ri.os&gt; del Consejo de S. M., ' te niente primero de corregidor de ésta muy hcroica villa , ante D. Alfonso de Yévenes, escribano del número .de ,ella. , / / ... .......... . r á Retórica epistolar , ó arte nuevo de escribir todo género de Cartas misiva…</t>
  </si>
  <si>
    <t>…nta de acreedores de D. Henríque Penalosa, acordada para el 26 del corriente, y se ha vuelto-á señalar para el" dia 12 de Agosto próximo, á las ocho de su mañana, en la posada del Señor D. Angel Fernandez de los.Rios, y que se anuncie por este periódico para que ilejgue á noticia de todos ios interesados. Por providencia del Sr. D. Manuel Josef Rubio , dél Consejo de S. M. , teniente de-corregidor -de -estamuy heroica villa, por la escribanía de numero de D. C…</t>
  </si>
  <si>
    <t>…el Josef Rubio, del Conse^ jo de S. M., teniente de corregidor de'esta muy heroica villa, por la escribanía* nu¿ meraria del cargo de D. Francisco Alcázar. &gt; - Por providencia del Sr. D. Angel Fernandez de los Ríos , del Consejo de, S. M¿,' primer teniente de corregidor: de,esta muy.heroiiea villa, refrendada del escribano de su numero D. Martin Santin y Vázquez, se Ha mandado sacar á pública subasta por término de 30 dias una-botica-nombrada comunmente de S…</t>
  </si>
  <si>
    <t>…cumentos por la escribanía del número de D. Miguel Gonzalo; con ápercibimiento qué al que no lo haga ni comparezca le parará el perjuicio que haya lugar. . ' ‘ Por providencia del Sr. D. Angel Fernandez de los Rios, del Consejo de S. M., teniente de corregidor de esta muy heroica villa, ante el escribano de su numero Dort Anselmo Ordoñez , para el remate de la casa, calle de Santiago , num. 32 , manza na 417, anunciada en la gaceta con fecha ó del presente m…</t>
  </si>
  <si>
    <t>…de S. Martin , tasada en venta en 24,550 rs.., y renta" 1 ico. Quien quisiere haCer postura á las expresadas fincas juntas o sepa radas acuda en el término de 30 dias ante: el Sr„ D. Angel Fernandez de los Ríos, del Consejo de S. M , teniente primero de corregidor de esta muy heroica; villar, á quien está cometida dicha Real facultad, por la escribanía de numero de D. Tomas de San cha y Prado. . : En virtud' de providencia del Sr. EX. Angel Fernanderde l…</t>
  </si>
  <si>
    <t>…escribanía, donde se le admitirán siendo arregladas ; previniéndose que el re ferido remata se ha de celebrar á las ir de la mañana del enunciado día. En virtud de providencia del Sr. D. Angel Fernandez de los Ríos , del Consejo de S. M., teniente primero de corregidor d« esta muy heroica villa, refrendada de D. Anselmo Ordoñez, escribano de su número, se cita, llama y emplaza por térmi no de 15 dias, contados desde la publicación de este anuncio, á D. Franc…</t>
  </si>
  <si>
    <t>Fernandez, Angél</t>
  </si>
  <si>
    <t>Angél Fernandez</t>
  </si>
  <si>
    <t>…mera, en 67,510 rs., y los segundos en 19,376, se Ha señalado el lunes 16 dei corriente ¿.avias 12 ‘de su.mañana, en la audiencia del referido señor juez., 1 " Tór^éi jüzgádb' del Sr. D. Angél Fernandez de íos Ríos, -primer teniente de Cor regidor de esta muy heroica villa, y por la escribanía denámero de D. CláüdioSanz , sé ha puesto demanda á nombre de D. Bartolomé López Pelaez, vecino de la Membrilla, éH Ja provincia' de la Mancha, sobre qué se declaren d…</t>
  </si>
  <si>
    <t>Por providencia del Sr. D. Angel Fernandez de los Ríos* del Consejo de S. M.f teniente primero de corregidor de esta muy heroica villa, se cita¿ llama y emplaza á los tenedores de cuatro;vales Reales de'300 pesos . creación de i.° de Mayo de.1808, números 484831,446887, 435737 y 426601; que al tiempo…</t>
  </si>
  <si>
    <t>Fernandez, Ángel</t>
  </si>
  <si>
    <t>Ángel Fernandez</t>
  </si>
  <si>
    <t>…no, sin que sirva de egemplar;, dispensarle á él, á sus hijos y su cesores el servició de lanzas y medias anatas por el expresado título de Castilla. -En virtud de providencia del Sr. D. Ángel Fernandez de los Ríos, del Con sejo de S. M., y teniente primero de corregidor de esta muy heroica ví^a, dada por escribanía del numero de D. Vicente de la Costa, á instancia del promotor fiscal de concurso y obras pías, se ha mandado sacar á publica subasta una porció…</t>
  </si>
  <si>
    <t>…scribanía del número que egci1ce D, Juan Raya; y está señalado para su remate el dia 13 del corriente í las 11, en la audiencia de dickó señor.. .1?; / ■; . .1 Por providencia del Sr. D. Angel Fernandez de los Riós * del Coasejo de S. M¿, primer teniente corregidor de esta muy heroica villa, refrendada del escribano de su número D. Martin Sahtin y Vázquez, se ha señalado el! dia i o del corriente', y hora de la 12 de su mañana, en la audiencia de S. S., para…</t>
  </si>
  <si>
    <t>…úa, par roquia de S. Martin, tasada en 24,550 rs. en venta y 1100 en renta : y estando se ñalado para su remate el dia 28 del corriente á las 12 de su mañana, en la audien cia del Sr. D. Angel Fernandez de los Ríos, del Consejo de S. M., teniente primero corregidor y .juez comisionado, se anuncia por providencia de S. S., refrendada del escribano de numero D. Tomas de Sancha y Prado, para que las personas que quie ran hacer postura á dichas ñncas juntas ó se…</t>
  </si>
  <si>
    <t>…ra que por sí» ó por medio de personas competentemente autorizadas, concurran á ellaj con prevención que de no hacerlo" les parará él'perjuicio que haya lugar. Por providencia del Sr. D. Angel Fernandez de los Ríos, del Consejo de S. M., primer teniente corregidor de esta muy heroica yilla, se cita, llama y emplaza á los herederos de D. Miguel Sempere, vecino que fue de esta corte, para que en el tér mino precisó y perentorio de 20 días, contados desde 15 de…</t>
  </si>
  <si>
    <t>…en ésta1 corte y su calle de Cabestreros . señalada con el numero 8 de la manzana 66, con 1908 pies y tres octavos: tasada en 44»24P'rs* Quien quisiere hacer postura acuda ante el Sr. D. Angel Fernandez de los Ríos, del Consejo de $ M.&gt; teniente corregidor de esta muy heroica villa , y por la escriban nía de su número que egerce D. Juan Raya. ' r - * , o ¡ Por providencia del Sr D. Josef 'Cavanillés”, del Conséjóbtíé S. M , alcalde deéanó de su Real asa y Co…</t>
  </si>
  <si>
    <t>…o de 30 dias comparezca en. dicho juzgado y escribanía del referido D. Antonio Domínguez; pues siendopasado; se procederá 4 lo'que hubiere lugar. A consecuencia de providencia del Sr. D. Angel Fernandez de los Ríos , del Consejo de S. M., y teniente primero de corregidor de esta muy heroica villa, dada por la escribanía del número de D. Vicente de la Costa á instancia del promotor fis cal de concursos,y obras pias, con fecha de .22 de Setiembre último, se ha…</t>
  </si>
  <si>
    <t>…anía de su número que egerce D. Juan Raya, y está señalado para su remate eLdiag de Noviembre próximo, a las 12 , en la audiencia del mismo Señor. ; F.11 virtud de providencia del Sr. D. Angel Fernandez de los Ríos» del Consejo .de S. M., teniente de corregidor de esta muy heroica villa, y por la escribanía del número de cargo de D. Francisco Alcázar, se vende una casa sita en esta corte, y su cajUe,de la Cruz Verde» barrio de S. Plácido, señaladla con el nu…</t>
  </si>
  <si>
    <t>…de Cádiz; y qúe nfngun buque sea puesto en comunicación hasta tanto que los comisionados de la sanidad declaren que no resultará de ello el menor peligro para la salud pública. El.Sr. D. Angel Fernandez de los Ríos, del Consejo de S. M., y teniente cor regidor de esta muy heroica villa, de acuerdo con los .síndicos nombrados última mente á los bienes de Joaquín Angel García, y en unión de este, ha mandado se cite, llame y emplace á todos los acreedores que a…</t>
  </si>
  <si>
    <t>…ichas casas, palomares y tier ras i juntas ó separadas,, acuda ante dicho señor, y citada hora, que se admitirán la postura y mejoras que se hiciesen. En virtud de providencia del Sr. D. Angel Fernandez de los Ríos, del Consejo de S. M., y teniente primero de corregidor de esta muy heroica villa, su fecha 13 del corriente, ante D. Vicente de la Costa, escribano de S. M. y del numero de ella, se manda sacar á pública subasta una viña sita en el lugar de Fuenc…</t>
  </si>
  <si>
    <t>Fernández, Angel</t>
  </si>
  <si>
    <t>Angel Fernández</t>
  </si>
  <si>
    <t>1228 Calvo; con apercibimiento que transcutridodichoté^mino sin haberlo verificado les parará el perjuicio que haya lugar. / En virtud de providencia del Sr. D. Angel Fernández de los Ríos, del Consejo de S. M., teniente primero de corregidor de está muy heroica villa!, refrendada de T&gt;. Claudio Sanz, escribano de númerose Vende una casa fábrica de jabón y alma cén de aceite, con todas sus pertenencias, sita en el lugir de Fuencarra…</t>
  </si>
  <si>
    <t>…la , cuyo discurso tuvo también el honor de dedicar al Sermo. Sr. Infan te, como una débil prueba del agradecimiento del colegio á la alta distinción con que se miraba honrado* El Sr. D. Angel Fernandez de los Ríos, del Consejo de S. M-, primer teniente ife corregidor de esta muy heroica villa, y el R* P. Fr. Gaspar de S Ildefonso, guar dián del Real convento de S. Gil de la misma, patronos únicos por sus respectivos empleos de las pías memorias que fundó y…</t>
  </si>
  <si>
    <t>1328 El alcalde mayor y teniente de corregidor de la ciudad de Tortosa libró en 10 de Agosto de este ano despacho requisitorio, que ha sido cumplimentado por el Señor D. Angel Fernandez de los Ríos, del Cotisejo de S. M., teniente primero de corre gidor de esta muy heroica villa, ante el escribano de su número D. Francisco Alcazar, para la citación y emplazamiento por el término de la ley á Doña María Verge y Lorfelin, vecina que se dice ser…</t>
  </si>
  <si>
    <t>…última junta general, ¿ cuyo fin acudirán desde dicho día los accionistas 9 sus apoderados á lá con* taduría de lá compañía, de 10 á una de la mañana. En virtud de providencia del Sr. D. Ángel Fernandez de ios Ríos, del Consejo de S. M., teniente primero de corregidor de esta muy heroica villa, refrendada del escribano d-e su número D. Anselmo Ordoñez, se subastan por término de 30 días, contados desde la fecha de este anuncio, dos viñas sitas en el término…</t>
  </si>
  <si>
    <t>…entaría y ocurrencia de acreedores de Antonio Sánchez Luengo, vecino que fue de aquelpueblo, se ha señalado el día 8 de Enero próximo , á las 11 de la.mañana, en ija audiencia del Sr. D. Angel Fernandez de lós Rioi', del Conséjo ;de‘S. Mí, teniente corregidor de esta muy- heroica villa, por ante el escribano del número.D. Claudio Sanz. - , ; Por procidencia de 11 del corriente del Sr. D. Francisco Xavier dfc Ojeda, dol Cón^jo» dé-S.' M. en-él supremo de Haci…</t>
  </si>
  <si>
    <t>Fernandez, Antonio Villa y</t>
  </si>
  <si>
    <t>Antonio Villa y Fernandez</t>
  </si>
  <si>
    <t>…de su dueño, y en virtud de providencia del Sr. D. Manuel Josef Rubio,del Consejo de S. M., teniente corregidor de esta muy heroica yilla, por la escribanía del flumero que egerce D. Antonio Villa y Fernandez, se vende una casa en esta corte, caíle del Aguila, núm. 2, manz. no, que tiene de sitio 2437 pies, y fue tasada por el arquitecto D. Juan Antonio Cuervo en 27 de Mayo de 1812 en. 66,524 rs., y dan por ella 40,200 rs. en metálico. Quien quisiere mejorar esta…</t>
  </si>
  <si>
    <t>…e cierto crédito, y en virtud de providencias del Sr. D. Manuel Jo sef Rubio, del Consejo de S. M., teniente corregidor de esta muy heroica y illa, por la escribanía del numero de D. Antonio Villa y Fernandez, se vende una casa sita en esta corte, calle del Viento, barrio de Pórtaceli, señalada con el núm. 25 de la manz. 306, que tiene de sitio 989^ pies cuadrados superficiales, y se ha tasado en 22 de Setiembre último por el arquitecto D. Antonio Conde González e…</t>
  </si>
  <si>
    <t>…quisiere hacer postura á dichas fincas acuda ante el Sr. D. Manuel Josef Rubio, del Consejo de S. M. , te niente corregidor de esta muy heroica villa , y escribanía del número de D. Antonio Villa y Fernandez, en el término de 30 dias, contados desde 3 del presente mes; en inteligencia que no se admitirá en menos cantidad que la en que están tasadas y di nero metálico , conforme i lo prevenido en la Real facultad concedida, y que para su remate está señalado el 6…</t>
  </si>
  <si>
    <t>Fernandez, Bernardo</t>
  </si>
  <si>
    <t>Bernardo Fernandez</t>
  </si>
  <si>
    <t>…re ayuntamiento, nobleza y clero y todos los oficiales retirados, que hicieron mucho mas brillante la función: para esta se erigió en dicha iglesia, bajo la dirección del teniente coronel D. Bernardo Fernandez ,• comandante de las armas en dicha villa, un sencillo catafalco, ilu minado con mas de cien blandones, sin contar el infinito número de luces que se véianírepartidas por el resto de. la iglesia; ,y concluida la misa el R. P. Fray ♦Josef O.rtiz, lectoir de sa…</t>
  </si>
  <si>
    <t>Fernandez, Bonifacio</t>
  </si>
  <si>
    <t>Bonifacio Fernandez</t>
  </si>
  <si>
    <t>…bernador del castillo de S. Josef de Cabo de Gata, en la costa de Granada, á D. Josef Suria, capitán retirado : el de gobernador del castillo de la Palma , en la ría del Ferrol, á D. Bonifacio Fernandez, subteniente graduado de teniente del regi miento infantería de Jaén; y la segunda ayudantía de la plaza de Peñíscola á D. Francisco Rico y Toran, ayudante primero de Ja de Melilla. En América. La presidencia y comandancia general del Cuzco, en el rei no del…</t>
  </si>
  <si>
    <t>Fernandez, Josef</t>
  </si>
  <si>
    <t>Josef Fernandez</t>
  </si>
  <si>
    <t>…drid, con privilegio exclusivo. Se hallará en la librería de Dávila, calle de las Carretas ; en Cuenca en la de Mariana; en Toledo en la de Hernández, y ¿n Talavera en la lonja de D. Josef Fernandez. ÍN LA IMPRENTA REAI.</t>
  </si>
  <si>
    <t>Fernandez, Josef María</t>
  </si>
  <si>
    <t>Josef María Fernandez</t>
  </si>
  <si>
    <t>…nte. Dios guairde á V.'S. muchos años. Palacio 20 de Noviembre de i8i9. = M. Josef María de Alós.=Sr. secretaria del Consejo supremo de la Guerra.” El Rey se ha dignado conceder á D. Josef María Fernandez de la Maza* vecino de Moguer, en el condado de Niebla, reino de Sevilla * licencia para usar de la condecoración de la flor de Lis con que ha sido agraciado por S. M. Cristianísima. Atendiendo S. M. a los méritos y servicios del comisario ordenador Don Joaquí…</t>
  </si>
  <si>
    <t>Fernandez, Josef Perez</t>
  </si>
  <si>
    <t>Josef Perez Fernandez</t>
  </si>
  <si>
    <t>…cho adquirido. ' En virtud de providencia del Sr. D. Martin de Gaztañaga, del Consejo de S. M., su alcalde de Casa y Corte, se cita 1 llama y emplaza á D. Modesto Antonio Rivi11o, D. Josef Perez Fernandez y Doña Agustina Ovando, á cuya instancia resulta^ hallarse reclamados respectivamente en la oficina de Renovación ocho vales Reales/ el uno de 600 pesos de Enero de iSo3 ", número 376804, y.los siete restantes de 150 pesos de .la misma creación , y.números 2/0398 &gt; 345635 , 342942…</t>
  </si>
  <si>
    <t>Fernandez, Julián</t>
  </si>
  <si>
    <t>Julián Fernandez</t>
  </si>
  <si>
    <t>…rte sin empedrar c^ue está en lo alto del pozo de Ja nieve, linde con otras de herederos de Gabriel Tirado y de Juan Benito, en fronteras dei citado Don Julián López de Riaza y de D. Julián Fernandez, y cbn calle que sale de dicho lu gar á la del Qlivo y fuente pública, tasada en 3900 rs.: una viña en la calle de Aba-</t>
  </si>
  <si>
    <t>Fernandez, Manuel</t>
  </si>
  <si>
    <t>Manuel Fernandez</t>
  </si>
  <si>
    <t>…os al pie del eehotafiójófreeierón Üsu vez, despuesde otros tantos responsos, las lustraciones y perfumes sagrados, según lo previene el ceremonial: dijo la oración fúnebre el Dr. D. Manuel Fernandez "Váteto, predicador de S. M., y deande esta iglesia: y-lá catedral enlutada; el túmulo ilúminado con 52 hachas ^Ade cera amarilla en ocho elegantes candelabros de color de oro; el venerable pontífice revestido -de toda sup■ dignidad ofreciendo i Dios la vícti…</t>
  </si>
  <si>
    <t>Fernandez, Manuel Ovarrio</t>
  </si>
  <si>
    <t>Manuel Ovarrio Fernandez</t>
  </si>
  <si>
    <t>IQ79 xíno, teniente coronel graduado ídem; P. Rafael de' Qúesadá, teniente: coro nel; D. Luis María de Mojo, barón de Juras Reales, fiscal de la Real audien cia de Chile; D. Manuel Ovarrio Fernandez , contador que fue del tribunal ¿e Cuentas de Buenos-Aires; D Josef Miguel de Muros, teniente de fragata; D. Jacinto Gil de Castro, teniente coronel; D. Josef Aloy , ídem; D. Ignacio Chacón, teniente de navio; D, Josef María Cucalón , capitán ; D. PedroGonzal…</t>
  </si>
  <si>
    <t>Fernandez, María</t>
  </si>
  <si>
    <t>María Fernandez</t>
  </si>
  <si>
    <t>…io de; Pinto; Doña María Regina Santos, discípula y pasanta de la Real escuelndeh barrio de S. Basilio: Doña Manuela--Nieto, discípula de la Real escuela del barrio de S. Plácido: Doña María Fernandez, discípula y pasanta de la Real escuela del barrio del Buen-Suceso: Doña Juana Isidora Salgado, discípula y pasanta dé la Real escuela deF barrio dé $. Antonio Abad: Doña Máría N¡-r dó, discípula y pasanta dé la Real escuela ¿fel barrio de Mpnterey: Doñí' Mar…</t>
  </si>
  <si>
    <t>Fernandez, Pedro</t>
  </si>
  <si>
    <t>Pedro Fernandez</t>
  </si>
  <si>
    <t>Caula y D. Pedro Fernandez; los subtenientes D. Migue! Rubio y D. Nico lás Baronesi, y el abanderado D. Leonardo del Valle. También son acreedo res á la estimador, de V. E. ei espitan comandante del cantón de Chaguaramal D. Hilario Torralba, y los capitanes D. Julián Matos y D. Josef G…</t>
  </si>
  <si>
    <t>Fernandez, Ventura</t>
  </si>
  <si>
    <t>Ventura Fernandez</t>
  </si>
  <si>
    <t>…sco Lledias 200. Núm. 29. D. Do mingo Ortiz de Urbina 200. Núm. 30. D. R. A. 20. Núm. 31. D. N. 80. Núm. 32. D. Agustín Sanz, maestro sastre, 60. Núm. 33. D. A. V. 100.Nú mero 34. D. Ventura Fernandez loo. Núm. 35. D. Manuel Centurión320. Núm. 36. D. M. H. 1500. Núm. 37. D. A. A. 20. Asimismo se han suscrito para el mismo caritativo objeto los señores si guientes: ! ; Número i.° D. Torcuato Torio de la Riva, durante la epidemia, por 40 rs. al mes-Núm. 2.°.…</t>
  </si>
  <si>
    <t>Fernando</t>
  </si>
  <si>
    <t>…26148....................... .. 1000 idem.. . En idem. 27673.............. 1000 idem.. En idem. , J ARTICULO X&gt; E OFICIO. Peal cédula de S. M.jy Sres. del Peal y supremo Consejo. D. Fernando vii por la gracia de Dios, Rey de Castilla, de León A los del mi Conseja &amp;c., sabed: Que obligados muchos pueblos de la: nece sidad de atender a.I pago de las contribuciones, suministros* y otros apuros en que los ponían las tropas, tanto españolas como franc…</t>
  </si>
  <si>
    <t>…o. Sr. presidente, con anuencia del marques, que se re partiesen los toros entre los pobres. Los vecinos y el comercio dieron otras dos corridas, y parece que el numen tutelar del Sr. D. Fernando vii velaba en que no hubiese desgracias, que tan frecuentes suelen ser en e&lt;tas diversiones. Nue-tro esclarecido gefe manifestaba en su semblante ia alegría de su co razón al ver la del pueblo, fruto de su sabio gobierno, cuyas providencias todas se dirigen á…</t>
  </si>
  <si>
    <t>…ese su suer te; y en todos los muchos acontecimientos adversos que la sucedieron acredi tó su confianza y resignación cristiana, no menos que el amor á nuestro au gusto Soberano y Señor D. Fernando vn. En 3 de Enero de 1816 fue nom brada por S. M. camarera mayor de su Real palacio y de la Reina nuestra Señora Doña María Isabel de Braganza , que esta en gloria; y en el si guiente año de 1817 obtuvo de S. M. el nombramiento de aya de la Sere nísima Sra. I…</t>
  </si>
  <si>
    <t>212</t>
  </si>
  <si>
    <t>…cabía por tan lamentable desgracia. Como en el tiempo que medió desde 3 i de Diciembre al 7 de Febrero ocurriesen las muertes de los'augustos Padres’ de nuestro amado Soberanos el Sr. D. Fernando vii , y el mismo Sr. presi dente recibiese de S. M. los avisos de aquellas, acordó la ciudad se celebra sen sus exequias en seguida de las de nuestra difunta Reina y Señora Doña María Isabel; y asi se verificó en los dias 8 y 9 del corriente en la misma forma…</t>
  </si>
  <si>
    <t>…rar solemnes exequias en sufra gio de su alma, con la pompa fúnebre y aparato que ha acostumbrado con todos los demas Soberanos, a lo menos desde la muerte de los Reyes Católi cos D. Fernando y Doña Isabei, de que hay razón en los pocos papeles de su archivo que se salvaron del ultimo geneiai incendio. Señalo para el efecto el dia 11 del corriente y la parroquia matriz de Sta María, adonde acudió el ayuntamiento saliendo de su sala capitular a las 10 en punto e…</t>
  </si>
  <si>
    <t>…os &amp;c. “Firmado, El marques Dessalle.” ESPAÑA. j ! Madrid 22 de Marza. O' . • ■; •Vil í ; 1 ARTICULO I) E OFICIO. . Real cédula de S. M. y Señores del supremo Consejo de Hacienda. D. Fernando yii por la gracia de Dios, Rey de Castilla, de León, de /</t>
  </si>
  <si>
    <t>…nto-, tuvo á bien la Reai piedad del Sr. D. Carlos iv nombrarle teniente general de los Reales egérci tos ; asi como por la misma consideración se dignó nuestro aDgusto Monarca el Sr. D. Fernando vil condecorarle, en 10 de Mayo de 1816 con la gran cruzr de la Real y distinguida orden militar deS. Hermenegildo. Tal ha sido la glo riosa carrera militar del difunto marques de Campo Santo, y no ha sido me nos honrosa su conducta privada y doméstica. Retir…</t>
  </si>
  <si>
    <t>…r resolúcío n fue-áuuiéntñiífdose la concurrencia, y recobrando las' aguas de Sacedon sii antiguo n’ombre hasta;el áñó de 1816, en que favorecidas por la-presencia-del Rev nuestro Señor D. Fernando vii hubieran vuelto á ad quirir los baños la magnificencia que tuvieron en tiempo del Emperador Ti berio, si nuestro augusto Monarca no hubiese preferido á su propia comodi dad la de la humanidad doliente. De orden de S» M. sé hicieron varias obras en el cami…</t>
  </si>
  <si>
    <t>…etendientes remitirán los memoriales ala justi cia y ayuntamiento de dicha villa. Oración fúnebre de la Reina nuestra Señora Doña María Isabel de Bracanza, dedicada al Rey nuestro Señor D. Fernando vti, y pronunciada por el Dr. I). Miguel de Angulo, canónigo magistral de la santa iglesia de Calahorra, en las solemnes exequias celebradas en aquella catedral el dia 31 de Enero de 1819. Se vende á 4 rs. en la librería de Sanz, calle de las Carretas; en Bil…</t>
  </si>
  <si>
    <t>…s de la ilustre universidad y casa de contratación de la M. N. y M. I» villa de Bilbao", aprobadas y confirmadas por las magestades dél Sr. D. Felipe v e* 2 de Diciembre de 1^37 y D. Fernando vir en 27 de Junio de 1814^ con inserción de los Reales privilegios, y la provisión de 9 de Julio de 1818, que contiene las al teraciones hechas á solicitud del mismo consulado y comercio sobre los números 3.% 5.0, 8.°, 9.0, 16 y 23 del capítulo 2.0, el numer…</t>
  </si>
  <si>
    <t>…cribanía. Por disposición del Real tribunal del consulado de comercio de Cádiz se cita- y emplaza á cualesquiera que se estimen con derecho á la masa del concursó de acreedo res á D. Fernando*Saenz y S. Vicente, paraqiieenel perentorio término de un año, contado desde su publicación, acuda á formalizarlo con los documentos que le coirw prueben; bajo la prevención qué de no hacerlo las fianzas que esten otorgadas se cancelarán por el mero hecho, y…</t>
  </si>
  <si>
    <t>…vmd. está penetrado de mis sentimientos en ias cir cunstancias actuales, y me .seria muy sensible ño manifestarlos á los que son verdaderos defensores de nuestro amado Soberano el Sr. D. Fernando srti y sus derechos, siendo acreedores en esta ocasión todos los individuos de: que se compone la división al amor y gratitud de todo buen español, y en par ticular el capitán D. Manuel Bello, quien con el mayor orden y serenidad sobre su marcha batió á los r…</t>
  </si>
  <si>
    <t>…rero de 1817, 18 y 19 por D. Antonio Sandalia de Arias* en ia apertura del curso de agricultura del Real jardín Botánico de esta corte : 1# verdad desnuda, avisos dados alISr, Rey D. Fernando vi; memoria sobre las sustan cias vegetales que pueden servir para hacer pan, por D. Esteban Boutelou; noticia historial de la Real acequia de Xarama; tercera noticia historial de las conquistas de ' Tierra-firme; noticias sobre el canal de Castríl, ó sea de…</t>
  </si>
  <si>
    <t>…do antes sus diferencias. ■ ~ ESPAÑA. Ronda gó de Jimia. * El R¿ál cuerpo de maestranza de caballería de esta ciudad en'celebridad del pküsible día' dé nuestro augusto Soberano el Sr. D. Fernando vii tuvo certámenes públicos de los alumnos de lá academiá que á siis expensas tiene establecida en esta dicha ciudad en los dias 28 y 29 del corriente, y en el 3Ó celebró -su función de instituto, formándose á caballo en su tarde á la&amp; püertas íde las casas…</t>
  </si>
  <si>
    <t>…y Ubeda, presbítero, y reimpresos ahora en Madrid. El del sepulcro de nuestro Redentor Jesucristo; el de la Virgen de los Desamparados por Ja venida de nuestro católico Monarca el Sr. D. Fernando vii desde su cautiverio al trono de sus mayor res; el de Sta. Catalina virgen y mártir ; el de exequias por él V. P. M. Fr. Pedro Pas cual Rubert, provincial de la de Mercenarios calzados de la ciudad de Valencia» fu silado por los franceses en Murviedro; el…</t>
  </si>
  <si>
    <t>…o orden, en una de las cuales se va ya á poner el cornisamento; en tel centro de ;esta plaza se colocará sobr.e una gran mole la estatua ecuestre de. bronce de nuestro Soberano el Sr. Don Fernando vir. :, &gt;I;; o,; En las inmediaciones del Real, pglápto se acaba de Restaurar la hermosa fa chada de la iglesia-colegio de Doña María de Aragori, de orden dórico , coa dos excelentes estatuas hechas por el primer escultor de Cámara de S. M., que representan á…</t>
  </si>
  <si>
    <t>…es fue nombradp¿por unanimidad de votos de las jurisdicciones ó valles presidente de la junta:provincial, y regente de teda la provincia du*'■rante la cautividad de nuestro Rey el Sr. D. Fernando vii ; y aunque hizo cuanto estaba de su parte, y trabajó incesantemente, saliendo por dos veces á 'campaña a animar la gente ,- no pudo resistir á* las fuerzas tan superiores del qnfemigó:,' y se vió precisado á emigrar, teniendo .la gloria cíe que el.tirano…</t>
  </si>
  <si>
    <t>…adelante; lo que se avisa al público para su inteligencia, y para que puedan concurrir á ella con sus géneros los comerciantes y traginerós en dichos nueve dias. Decretos del Rey D. Fernando vi», ó colección de Reales resoluciones expe didas por los diversos Ministerios y Consejos en todo el ano de 1818: tomo g.°, dispuesto, en virtud, desorden de S. M. por D. Fermín. .Martin de Eálmaseda. la obligación que todos tenemos de cumplir exactamente la…</t>
  </si>
  <si>
    <t>…ardía y perfección,, que admira á cuantos la vieron. Por último se presentó por la diputación de SanIldefonso á la niña MaríasAlgora, de edad de 11 años , discípula de su her mano D. Fernando, la cual fue examinada en gramática y ortografía castellaa</t>
  </si>
  <si>
    <t>…id, á nombre d$, su heroico.pueblo,; ha dispuesto para recibir á la Reina nuestra Señofa Doña Ma sía JoseeA Amalia, coh motivo del feliz enlace de muestro amado Monarca el Se ñor. D. Fernando vn. Se halla de venta en las librerías, de Perez, calle de las Car retas, y plazuela del Angel, frente á los cajones, á 13 cuartos. Oda al augusto enlace del Rey nuestro Señor. Véndese en la librería de Orea, calle de la Montera, á 4 rs. en papel fino, y á 3…</t>
  </si>
  <si>
    <t>…er útil al Rey y á la patria; y no obstante su avanzada edad llegó á Sevilla en Enero de 1809, en donde solicitó de la junta central , que representaba á nuestro amado Soberano el Sr. D. Fernando vij , ser empicado en el destino para que se Je considerase á propósito; pasó á Málaga, y se hallaba enfermo cuando los enemigos se dirigieron á aquella ciudad; y habiéndole sido forzoso embarcarse» sufrió un fuerte temporal que llevó el barco de sis trasport…</t>
  </si>
  <si>
    <t>1264</t>
  </si>
  <si>
    <t>…er en la de Aja; en Valencia en la de Cabrerizo, y en Barcelona .en la de Piferrer. ? ^ Sonata armónica para guitarra sola del célebre maestro Molino á la feliz unió.» .de SS. MM. D. Fernando vi i y Doña María Josefa Amalia de Saxonia; y co lección selecta de obras de los mejores autores, también para guitarra sola, números i.°, 2.°.y 3.0 de los señores Sor y Roldan. Véndese en el establecimiento de la ca lle del Turco, y eir la librería de Ortega…</t>
  </si>
  <si>
    <t>…atriotas qué. hubiesen muerto en defensa de la justa causa de lá nación, ha. cabido en suerte del primer extracto de *la de este dia á Doña María de la Soledad Norzagaray, hija de D. Fernando, sár-^ gento mayor de Ingenieros, muerto en el campo del. honor. ‘ ‘ -------- --1- ■ -• ~ ..................... ; - ' — - ---------------- — ■ ----------- —-------- ■ - -- - - - JL.___________________ ____________ ;J El Rey nuestro Señor, se ha servido señala…</t>
  </si>
  <si>
    <t>Fernando, Duque de S.</t>
  </si>
  <si>
    <t>Duque de S. Fernando</t>
  </si>
  <si>
    <t>…necesario para su cumplimiento. En Palacio á 26 de Octubre de 1819. = Al duque de S. Fernando.” 1 El Rey nuestro Señor se ha.servido dirigir con fecha de hoy i.° de No viembre al Sr. Duque de S. Fernando el Real decreto siguiente: ,, Atendiendoá la quebrantada salud de D. Juan Esteban Lozano de Torres, mi secretario de Estado y del Despacho de Gracia y Justicia, y á los méritos y buenos servicios que ha contraído durante el tiempo que ha desempeñado el miníst…</t>
  </si>
  <si>
    <t>Fernando-yii</t>
  </si>
  <si>
    <t>…eseábamos y se confesaba la necesidad dé sujetar á un método científi co lá agricultura; pero tan'gloriosa empresa estaba reservada para el reinado de nues tro augusto Soberano el Sr. D. Fernando-yii , quien conociendo que nunca fue tan preciso como ahora volver los ojos hacia los.tesoros de la tierra, se decidia.por el es tablecimiento dé algunas cátedras en dónde se enseñase;á‘ cultivarla con mas utilidad y ventajas. Oponíanse empero grandes dificultade…</t>
  </si>
  <si>
    <t>Fernandtez, Angel</t>
  </si>
  <si>
    <t>Angel Fernandtez</t>
  </si>
  <si>
    <t>…co Xavier de Hostos. = Manuel Fernandez. = Juan Mer.elo = Hermenegildo Díaz Moreno.=s Pedro Pantoja. = Joaquín San¿hez.==El marques de Ureña. = Juan Garavito.” Por providencia del Sr. D. Angel Fernandtez de los Ríos, del Consejo de S. M.^ primer teniente corregidor de esta muy heroica villa, se eirá , llama y emplaza á to das las personas que: con cualquier motivo ó causa se creyeren con derecho á los bie nes intestados de. Doña Monica y Doña Nicolasi: Flanco…</t>
  </si>
  <si>
    <t>FERNANi</t>
  </si>
  <si>
    <t>…a el.ácta-dé,entrega.déla augusta Esposa, la cual leyó en alta voz en los términos siguientes: ,,En el palacio Real de Madrid á it de Junio de 1819 en presencia de la Magestad-del Sr. D. FERNANi&gt;o;'yitr,'Kfty'’«ie'&lt;i^r«il’la‘^-'d-é'Eeon, de Ara gón , de las Dos Sicilias, de Jerusalen, de Navarra, de Granada, de Toledo, de Valencia, de Galicia, de^ Mallorca, de. Sevilla, de Cerdeña , de Córdoba, de Córcega , de Murcia, de 'jaén , de tos Aigarbes, de A…</t>
  </si>
  <si>
    <t>Fernatidez, Ángel</t>
  </si>
  <si>
    <t>Ángel Fernatidez</t>
  </si>
  <si>
    <t>t .................... . # Por providencia del Sr. D. Ángel Fernatidez de los Ríos í* del Consejo de S. M, primer teniente de corregidor de esta muy heroica villa, y escribaníavdel'número de D. Tomas María Manrique, se ha mandado sacar á pública subasta una viña sita en término del lugar de Fuencarral donde dicen Calberon , de 6…</t>
  </si>
  <si>
    <t>Ferra, Josef María</t>
  </si>
  <si>
    <t>Josef María Ferra</t>
  </si>
  <si>
    <t>…mera cuarta, causa¡tíe que se hayan escapado 3 rebeldes de los 5 que había. Son en ini poder 6 carabinas1/y fusiles tomados eii dicho cantón, los mismos que remito con el ayudante D. Josef María Ferra. Queda en el calabozo el criminal Antonio Leiton , cogido en el cantón dé los rebeldes. El'cazador Josef María Cuerdo hirió de grávedad al titulado capitán comandante.1 de los cuatro rebeldesjqüe se^hallabañ en dicho, capten Ferminillo‘Moreno , quien á pesar…</t>
  </si>
  <si>
    <t>Ferran, Ventura Mena y</t>
  </si>
  <si>
    <t>Ventura Mena y Ferran</t>
  </si>
  <si>
    <t>…tenencia de Rey de la plaza de Zaragoza al coronel D. Giués Sán chez, comandante de batallón del regimiento, de infantería de Galicia: la sar gentía mayor de la plaza ¡de Gerona á D. Ventura Mena y Ferran, primer teniente del segundo regimiento dé Reales guardias.de infantería; y en América la capitanía general de la isla de Puerto-Rícoal "brigadier I&gt;. Juan Vasco. ______ .1. ' .....----------,, ■ . 1 . I ■ . .... I. I , . ----------- ;-----------------------…</t>
  </si>
  <si>
    <t>Ferraud, Francisco</t>
  </si>
  <si>
    <t>Francisco Ferraud</t>
  </si>
  <si>
    <t>…s del comercio dé aquella villa, y los profesores nombrados en concurso de oposición D. Alberto:Lista para la clase de matemáticas, D. Antonio del Olmo para la de lengua francesa, D. Francisco Ferraud para la de lengua inglesa, y D. Anselmo Alfonso para la de dibujo Habiendo tomado asientos, el señor prior del consulado D. Manuel María ^de Aldecoa anunció el objeto de aquel acto tan solemne como tierno por un breve discurso; y el profesor de matemáticas le…</t>
  </si>
  <si>
    <t>Ferrer, Francisco Romani</t>
  </si>
  <si>
    <t>Francisco Romani Ferrer</t>
  </si>
  <si>
    <t>…o ante el nominado señor alcalde y escribanía de provincia y comisiones de D. Manuel López de Rivas, en donde se halla radicada la instancia de reclamación de los mismos vales por D. Francisco Romani Ferrer, ve cino y del comercio de la ciudad de Barcelona; con prevención de que pasado dicho último término sin mas citación ni emplazamiento,se proveerá lo que en justicia cor responda, parándoles el perjuicio que haya lugar en derecho. Derechos legales y estado de…</t>
  </si>
  <si>
    <t>Ferrer, Francisco Romani y</t>
  </si>
  <si>
    <t>Francisco Romani y Ferrer</t>
  </si>
  <si>
    <t>…medío de procurador, con poder bas tante , ante dicho señor' alcalde y escribanía de provincia de D; Manuel Eopcz de. Rivas, 4 decir de su detechó en. la instancia; promovida* por.D. Francisco Romani y Ferrer, reclamando lá pertenencia de los indicados vales ; en la inteligencia de que' pasado dicho término no habiéndolo verificada sin mas citación ni emplazamiento,? se*proveerá ib que corresponda en? derecho , y les parará el perjuicio que- haya lugar. ... Se des…</t>
  </si>
  <si>
    <t>Ferrer, Joaquín María de</t>
  </si>
  <si>
    <t>Joaquín María de Ferrer</t>
  </si>
  <si>
    <t>…que de Granada de Ega, y marques de Valmedíano, grandes •de España de primera clase; y los Sres. D. Josef Antonio de Larrumbide, ministro del Real y supremo Consejo de Castilla, y D. Joaquín María de Ferrer yCáfránga, diputado en corte de la referida provincia; el primero de ; los cuales dijó: Señor : ,, Vuestra M. N. y M. L. provincia de Guipúzcoa, la primera de todas las que componen esta vasta monarquía que ha tenido el alto honor de reci bir en su territorio…</t>
  </si>
  <si>
    <t>Ferrer, Josef</t>
  </si>
  <si>
    <t>Josef Ferrer</t>
  </si>
  <si>
    <t>…rí guez S. Pedro y D. V icente Foyo, y de la mía al teniente de cazadores de mi cuerpo, ayudante de esta división, D. Mariano Muñoz, y subteniente de la misma el teniente graduado D. Josef Ferrer, cuyos oficiales la cabeza de los cazadores, desalojaron á los enemigos de cuantos puestos trataban de de fender con obstinación, y al sargento segundo de los mismos cazadores An tonio Martin. „ Situados ya en nuestros campos como á las seis de la tarde del ?…</t>
  </si>
  <si>
    <t>Ferret, Ceferino</t>
  </si>
  <si>
    <t>Ceferino Ferret</t>
  </si>
  <si>
    <t>…Mártir Coll y Aisina.—Exposición histórica de las causas que mas han influido en la decadencia de la mari na española, é indicación de algunos medios para restaurarla, escrita por D. Ceferino Ferret, dedicada al Rey nuestro Señor. Se hallarán en la librería de Martínez, frente á S. Felipe el Real; en Barcelona en la de Gaspar; en Valencia en la de Do mingo y Mompié; en Cádiz en la de Kortal y compañía, y en Málaga en la de Martínez. Geometría aplicada.al…</t>
  </si>
  <si>
    <t>Ferréti, Juan</t>
  </si>
  <si>
    <t>Juan Ferréti</t>
  </si>
  <si>
    <t>…las de VáÁtdoIid de Méchoacan, y á D. Domingo Clavarria; administrador de tabacos de Puerto Cabello ,’en las provincias de Venezuela. El Rey nuestro Señor se ha dignado conceder á D. Juan Ferréti, vecino y Rd comercio dé I.B.' Havana, su Real permiso para que ppeja usar la condecorado» de la flor de L¿s coq que le ha agraciado S* M. cristianísima.</t>
  </si>
  <si>
    <t>Ferro, Joaquín</t>
  </si>
  <si>
    <t>Joaquín Ferro</t>
  </si>
  <si>
    <t>834</t>
  </si>
  <si>
    <t>…raía. A consecuencia de lo que el consulado contentó á V.. E. .en 14 de Enero inmediato sobre, la navegación del fiordé Motagua, han venido, á esta capital D. Francisco Gas tejón, D. Joaquín Ferro, D. Juan Rea y Don Francisco Campos, vecinos del pueblo de. Gualan, á tratar de los pormenores pon-cernientes al proyecto^en Su parte mercantil, y han quedado expresamente ajustados con. este cuerpo y por medio de una-compañía de dichos sugetps, en los términ…</t>
  </si>
  <si>
    <t>Fetfrer, Joaquín María</t>
  </si>
  <si>
    <t>Joaquín María Fetfrer</t>
  </si>
  <si>
    <t>1078 Hacienda; D. Joaquín María Fetfrer,r p¡idttíít¿dfpiit¡acfb de Guipúzcoa; Don Josef Villaroel, cura de S.Pelayo; J^^ JosefJMaría Puj^valcalde del Crimen en Zaragoza; D. Ñicólás de Campos, asesor ae"correos en taHavana; D. Jo sef Parada, secretario de ^rrtbajkda; ehD: ^M'atías AgüiiáfV pirésbíte…</t>
  </si>
  <si>
    <t>Fidalgo, Manuel</t>
  </si>
  <si>
    <t>Manuel Fidalgo</t>
  </si>
  <si>
    <t>…rdoba; D. Joaquín Gregorio deGoycoa, vecino de S. Sebastian; D. Josef Campo y'Soler, cónsul general y comisario en SierraLeona ; D. Felipe Patdo y García , prebendado en Segovia ; D. Manuel Fidalgo, intendente de Zamora; el conde de Calatrava', gentilhombre de Cámara; Dbn Esteban Asta, gobernador de la sala del Crímen depáceres; D. Josef Anto nio Serrano y D. Vicente Esteve, alcaldes de la misma audiencia. Orden de María JLuísq, \ } Marquesa de Castromo…</t>
  </si>
  <si>
    <t>Fidel</t>
  </si>
  <si>
    <t>…de .artillería, últimamente se expusieron á la vista del público en el --salón de ía academia todas las obras de los profesores del dibujo; designán dose por el director del arte D. Fidel de la Roca aquellas que merecían el -premio. Fue muy lúcido y numeroso el concurso, especialmente en este ill'timo acto; contribuyendo á hacerlo mas serio y agradable el hermoso y bien • egecutado concierto de violines é instrumentos de aire que dieron los jó…</t>
  </si>
  <si>
    <t>Figares, Teresa</t>
  </si>
  <si>
    <t>Teresa Figares</t>
  </si>
  <si>
    <t>…deración del cuer po. El administrador de la Real casa de ■ hospicio ha presentado varias niñas de la fabrica de encajes que allí se ha establecido bajo la dirección de su maestra Doña Teresa Figares, y en su vis-</t>
  </si>
  <si>
    <t>Fignercra, Mariano</t>
  </si>
  <si>
    <t>Mariano Fignercra</t>
  </si>
  <si>
    <t>…vantado su campo dp Toteaba ,--t®nrraiido su dirección: por .puntos extraviados, me puse en marcha ei 18 ‘del corriente con 94 hombres, de mi compañía , y 40 de la pri mera con el teniente D. Mariano Fignercra r ek subteniente D. Manuel Mendo za,-yr el alférez de caballería que-se: hallaba en esta de paso á Sta. Cruz Don .Gerónimo María del Aguila), .por ver si conseguía destrozarle sobre el mismo üfcncor que llevaba ; pero la&amp;variasnotíeiasJalsas que me daban me h…</t>
  </si>
  <si>
    <t>Figueroa, Josefa de</t>
  </si>
  <si>
    <t>Josefa de Figueroa</t>
  </si>
  <si>
    <t>…Pedro de Porras , escribano de provincia. 3.0 Escritura y otres documentos, y una egecutoría forrada en pergamino de los Excmos. Sres marqueses de Almónacid y condesa de los Arcos Doña Josefa de Figueroa. 4.0 Los títulos de propiedad de un oficio de procurador de los Reales Con sejos, que correspondió á D. Alejo de Monreal, y antes perteneció á Doña Clara Ortiz de Alensaco, viuda de Domingo de Ochoa, procurador que fue de los Reales Consejos. 5.0 Escritura or…</t>
  </si>
  <si>
    <t>Finos, Rafael</t>
  </si>
  <si>
    <t>Rafael Finos</t>
  </si>
  <si>
    <t>…uque de Osuna; duque de Frías; marques de Ayer be; conde de Boxnos;. marques de Valmedíano; marques de Vacares; marques.¡de Soto mayor, prixner caballerizo deí Rey nuestro Seúor ; D. Rafael Finos, prímer.jeahalljerízo dé la Reln a. nuestra 'Señora *, marques ríe -Mon salud, t^nie&amp;te gejiexal .dé Jos, Reales egércitos, y primer caballerizo del Sermo. Sr. Infante D.;Carlos,; marqués de Casa-Maarid , primer .caballerizo del -Sermo. Sr; Io&amp;ote D, Fijangis…</t>
  </si>
  <si>
    <t>Fiorez, Ángel</t>
  </si>
  <si>
    <t>Ángel Fiorez</t>
  </si>
  <si>
    <t>…res á sér reébrtiperisa&amp;ÓS :’i!á p'ésár de ello debo recomendar á V. E. encarecidamente al bizarro D. Juan Bautista'Reyes, á ios heridos ca pitán D. Benito Eernandez y subteniente D. Ángel Fiorez ; al teniente coro nel D. Juan Tolrrá, que por cubrir el servicio de: aquel dia se halló en van guardia, y sostuvo lo. mas fuerte de la acción; al teniente coronel, comandante del primero del Rey, D. Nicolás López, que Fue fuertemente contuso ; al gefe del es…</t>
  </si>
  <si>
    <t>Fiscal</t>
  </si>
  <si>
    <t>…9 de Abril de 1581 ante el escribano del número de dicha villa y su tierra Alonso Perez. 22. Egecutoria del pleito que ha seguido en el Consejo de Hacienda la villa de Corpa y el Sr. Fiscal con Juan Perez sobre pago de maravedises pro cedentes de réditos de un censo. 23. Expediente de posesión dada al condestable de Castilla y León por el Sr. D. Francisco Antonio de Betoño, de las villas de Estabillo, Armiñon, Portilla, la Ribera y Tuyo, y de la…</t>
  </si>
  <si>
    <t>Fitz-Gerald, Latino</t>
  </si>
  <si>
    <t>Latino Fitz-Gerald</t>
  </si>
  <si>
    <t>…Améri&lt;;ar. &gt; La capitanía general de la isla de Puerto-Rico al martscai de campo D. Miguel Jacon: el gobierno de la provincia de Sta. Marta , en* ei: nyev.o reino de Granada*, át coronel D. Latino Fitz-Gerald, comandante^Sf'rS.^0, regimiento, de infantería de la Reina.</t>
  </si>
  <si>
    <t>Fiva, Juan Antonio de</t>
  </si>
  <si>
    <t>Juan Antonio de Fiva</t>
  </si>
  <si>
    <t>…s antepasados ya obtuvo el título de duque por Ips años de 1416, como también en consideración á los distinguidos servicios de la fa milia , y á los personales que ha contraído el Sr. D. Juan Antonio de Fiva ller,x marques ae Villel conde de Darnius, del Consejo de Estado, se ha servido el Rey nuestro Señor, á consulta de la Cámara, declarar que la gran deza de España de segunda clase que obtiene sea de primera para sí, siis hi jos y sucesores en su casa, varones…</t>
  </si>
  <si>
    <t>Fivaller, Agustín</t>
  </si>
  <si>
    <t>Agustín Fivaller</t>
  </si>
  <si>
    <t>…. Mi guel Antonio Bianes, regente de la chancillaría de Valladolid ; D. Francisco Fernandez del Pino, regente de Ja audiencia de Extremadura. Honores del Consejo de las Ordenes. A D. Agustín Fivaller, deán y canónigo de la santa iglesia" catedral de Barcelona, y sumiller de Cortina. PLAZAS EFECTIVAS DE LOS TRIBUNALES DEL REltfÓ. Oidores de la Real chancillería de Valladolid. A D. Pedro Antonio Arroquia, oidor de la audiencia de Galicia; D. Ra món María Mo…</t>
  </si>
  <si>
    <t>Fleming</t>
  </si>
  <si>
    <t>…ntrional del reino, después de haber nombrado una co misión de Gobierno compuesta de cuatro individuos , que son el ministro-de la Justicia conde Gillembórg; el mariscal del reino conde Fleming; el canciller de la corte'conde Netterstedt, y el teniente general conde SkioídebrandK , ............" ' 1 ■' ■ ■ PRUSIA. ' \ - Breslau 4 de Setiembre, Ayer á las 8 de la noche liego aquí el Rey con S. A. R. el Príncipe Car los. En las cercanías de esta ciuda…</t>
  </si>
  <si>
    <t>Flo, Luisa María</t>
  </si>
  <si>
    <t>Luisa María Flo</t>
  </si>
  <si>
    <t>…plazuela de la villa de Torrejori.de Veí&amp;sco, &gt;. ;. 6.° Un legajo de papeles de D. Francisco Xavier Éscovar y Torres,, ve-? ciño dé la ciudad de Segoviá, para el pleito que sigue Doña Luisa María Flo res Chaves y D. Franco Ulloa Flores su hijo, vecino de la villa de Cáce-*&gt; res, sobre la sücesion y propiedad de los mayorazgos fundados por D. Juan de Hinojosa y Doña Teresa Calderón su muger. ¿ ; 7.0 : Testimonio de la pertenencia de un erecto contra Madrid…</t>
  </si>
  <si>
    <t>Flores, Felipe Rojo de</t>
  </si>
  <si>
    <t>Felipe Rojo de Flores</t>
  </si>
  <si>
    <t>…l se halla unida á la so ciedad. Se hallará en,la¡librería de Ranz, calle de la Cruz, á 4 rs. Tratado ,de; recreación instructiva, ^obre/la danza , su invención,y diferencias, por D. Felipe Rojo de Flores, impreso en 1793 t á 4 ,rst en papel.—Elocuencia^ forense, por el mismo, impreso en dicho año, á 5 rs. en papel. = Invectiva contra el lujo, por el mismo, impresa.en 1/^4, i 4 r$.,en papel. Véndanse en el almacén de la im prenta Real. V .Ó . EN IA IMPRENTA RE…</t>
  </si>
  <si>
    <t>Flores, Franco Ulloa</t>
  </si>
  <si>
    <t>Franco Ulloa Flores</t>
  </si>
  <si>
    <t>….de Veí&amp;sco, &gt;. ;. 6.° Un legajo de papeles de D. Francisco Xavier Éscovar y Torres,, ve-? ciño dé la ciudad de Segoviá, para el pleito que sigue Doña Luisa María Flo res Chaves y D. Franco Ulloa Flores su hijo, vecino de la villa de Cáce-*&gt; res, sobre la sücesion y propiedad de los mayorazgos fundados por D. Juan de Hinojosa y Doña Teresa Calderón su muger. ¿ ; 7.0 : Testimonio de la pertenencia de un erecto contra Madrid y, la sisa de 8© ducados de princip…</t>
  </si>
  <si>
    <t>Flores, Raimundo</t>
  </si>
  <si>
    <t>Raimundo Flores</t>
  </si>
  <si>
    <t>…personal. . ; '' : J . Escuadrón de Tiznados. D. Francisco Polanco. Se le confirmó en el em pleo de capitán, y obtuvo la medalla de oro y la nobleza personal. Escuadrones del Rey. D. Raimundo Flores. Se le confirmó en su empleo, y se le concedió el Don personal. Campo -volante de Orituco. D. Raimundo Marqües. Fue confirmado en su empleo de capítan, y se le concedió el Don personal. D. Manuel Ramírez. Confirmación de capitán; Don personal, y medalla de or…</t>
  </si>
  <si>
    <t>Flores, Sebastian de</t>
  </si>
  <si>
    <t>Sebastian de Flores</t>
  </si>
  <si>
    <t>…m. 31. Dj .Atlejo ¡Casado, durante la epidemia ^ cop, 39 rs. mensuales. Ntím. 32. D. F. A. Vi , por ídem, con 30 ídem. *Núni^;33&gt;iP S S, con 2 reales diarios por-un año*. Núm. 34. D. Sebastian de Flores, por el tiempo de la epidemia, con 200 rs. mensuales. Núm. 3 j. D. J. M?. .de&gt; por ídem, con 6 rs.. diarios» vf.;.- ■ ;v i&lt;: . . ' {&gt; 1 •• '• Por el correo de! viernes 5 del corriente se’ha remitido un^Jétirá de 26*475 rs. al limo. Sr. obispo’de. Cádiz; desti…</t>
  </si>
  <si>
    <t>Florez, Francisco</t>
  </si>
  <si>
    <t>Francisco Florez</t>
  </si>
  <si>
    <t>…rancisco déPaiila Scaríatí; D.: Gerónimo Diego Sánchez, y Do» Pedro Bulliez. - ’ .j 1 Honores de gentileshombres de la Real casa. A D. Luis Pizana; D. Manuel de Ibarra y Padilla ; D. Francisco Florez, y D. Pedro Josef Lesaca. Sumilleres supernumerarios de cortina. Al Dr. D. Martin Gil, deán de la santa iglesia de Mechoacan, y Don Josef Vivas de Aragón, canónigo de la catedral de Astorga. Honores de médicos de Cantara. A D. Josef Martínez Gil, y D. Félix C…</t>
  </si>
  <si>
    <t>Flowe</t>
  </si>
  <si>
    <t>…ueo de Gibraltar, hallándose en varios ataques particulares dados á aquellá^"plaza, en el de las Flotantes, embarcado en la Pastora y y eiv el combate del generaLCórdoba contra el almirante Flowe. Tuvo el mismo carácter eu la destiaa&lt;^pw&gt;»,tm ¿ ¿la de Menorca., y &amp; halló</t>
  </si>
  <si>
    <t>Fm, M.</t>
  </si>
  <si>
    <t>M. Fm</t>
  </si>
  <si>
    <t>…«Núm; &lt;N.'40. Núm. 194. Doña F.M; 16a. Núm¿ 195* BU;M&gt; A.Xs.aoo.NútíiJ¿9^* ¿D; N.y confesor, 50* Nóm. 197. D. Manuel Lopefc'de la.Peña 200. Numeito 198. D. F. C. B. ioq. Núm. 199; D. M. Fm 20. D M. A. 40. •Núm. 201. Los Sres. gefes y oficiales del r.egi míe n t.o &gt; jjnfan te ría- In fa n té íDon Cárlos , por mano de- su teniente coronel may^tíDíiManueLG Doile/^e 'lo recogido ,en este mes , 834. Núm. 202. El señor teniente mayor derla parr roqui…</t>
  </si>
  <si>
    <t>Foncel, Mariana</t>
  </si>
  <si>
    <t>Mariana Foncel</t>
  </si>
  <si>
    <t>…sdicción y gobernación de la villa de Gata,* con los autos de posesión fechos en el año 1588. __ a i 18. Cuenta y particioil de-íosbienes;qu^ quedaron, por fallecimiento de laSra. Doña Mariana Foncel y de' Juan Martínez;-dehSfely de-sus liijos yí herederos, ante el escribano Santiago Fernandez, que 4o era del numero dé esta villa, á 24 de Enero de 1618. - *• ' 19. Escritura de censo en favor de Beatriz Prieto y María Domerto sü muger, vecinos de esta cort…</t>
  </si>
  <si>
    <t>Fonsdeviela, Joaquín de</t>
  </si>
  <si>
    <t>Joaquín de Fonsdeviela</t>
  </si>
  <si>
    <t>…ía general de Castilla la Nue ra se cita, llama y emplaza ai señor marques de Zafra, albacea de la Excma. Seño ra Doña Francisca Javiera de Montalvo, viuda que fue del Excmo. Sr,. D. Joaquín de Fonsdeviela, teniente general de los Reales egércitos, y á los acreedores y demas interesados que se crean con derecho á.los bienes de la testamentaría de la misma se ñora, cuyos autos penden en este tribunal, para que en el término de 30 dias, que por tercero y último p…</t>
  </si>
  <si>
    <t>Fonseca, Rafael Biedma y</t>
  </si>
  <si>
    <t>Rafael Biedma y Fonseca</t>
  </si>
  <si>
    <t>942</t>
  </si>
  <si>
    <t>942 do y Coimbra, capitán del regmíento dé^Kavarra» y D. Rafael Biedma y Fonseca, cadete del Real cuerpo de Artillería. Las materias del egercicio fue ron das explicadas en 4l primero y segundo año, á. saber r aritmética p'álge*-bray geometría especulativa y pr áctica y-trigonometría* reotrlíneár^y-esféricaí, .aplicacion del álgebra á la…</t>
  </si>
  <si>
    <t>Font, Francisco Carbonell y</t>
  </si>
  <si>
    <t>Francisco Carbonell y Font</t>
  </si>
  <si>
    <t>…Junio. - En la sesión que celebró la Real academia, de ciencias naturales y artes de está ciudad el dia 23 'del corriente desempeñó; los egercicios literarios de aquel dia el Dr. D. Francisco Carbonell y Font, socio de dicha academia, y déla Real sociedad aragonesa, ayudante de la cátedra de química de esta ciu dad, establecida bajo la protección y á expensas de la Real junta de comer cio de este principado, leyendo úna memoria aceren de la preparación del mercuri…</t>
  </si>
  <si>
    <t>Font, Ramón</t>
  </si>
  <si>
    <t>Ramón Font</t>
  </si>
  <si>
    <t>…rosos por seis meses, empezando á contarse desde ma ñana o. Por Real resolución de 25 de Enero último, á consulta del Consejo su premo de la Guerra, se ha servido S. M. conceder á D. Ramón Font, licen ciado en Farmacia, y vecino de la ciudad de Barcelona, el fuero militar y uso de uniforme de segundo ayudante de farmacia de egército en premio de los servicios que ha hecho en lás boticas fnilitares de campaña durante la úl tima guerra; declarando al…</t>
  </si>
  <si>
    <t>Forbin</t>
  </si>
  <si>
    <t>…El 12 de este mes se embarcaron en-&lt;59p£n|i¿igue en un;buqüe de vapor el Rey y la Reina ¡de Dinamarca. , oí. j . ; ^ ¡ En la obra tupiada: - Viage 4 levánte en ,1817 % z^lS por el conde Forbin,/se halla el,pasage siguiente: ,\v .ír: , . . ,v . " ■ ¡ ,,Bien fácil es de ver que el podéríq’de Mohamed-ÁIy fel'vlrey de Egip to) tiene tan poca consistencia como el ae su predecesor: la muerte de su hijo amado Tusson-bajá le priva, de* heredero l^itimo: po…</t>
  </si>
  <si>
    <t>Forero, María</t>
  </si>
  <si>
    <t>María Forero</t>
  </si>
  <si>
    <t>…la original én la ciudad de Granada en 22 de Abril de 1Ú72» y autorizado por él escribano de numero de dicha ciudad Francisco de Guadalajara. 8.° Privilegio de an juro en favor de Doña María Forero , situado en ab* cabalaste Sevilla, expedido en 26 de Octubre de 2600. 9.0 Otro privilegio de juro á favor de la viuda de Hernando de Castro, impuesto sobre las mercaderías de la ciudad de Sevilla, expedida en 22 deFe-brerode 1570.^ . 10. Otro privilegio de j…</t>
  </si>
  <si>
    <t>Formenti, Juan</t>
  </si>
  <si>
    <t>Juan Formenti</t>
  </si>
  <si>
    <t>…ro mi litar y uso de uniforme de practicantes de farmacia de egército á D. Bartolo-: mé Gómez, residente en est^ corte; á D. Agustin Cano Hernández, en la ciu dad de Alicante, y á D. Juan Formenti, en la de Barcelona; declarando asi mismo S. M. le ha sido muy grata la cesión que respectivamente han hecho de Ja pensión, que con arreglo á la Real orden circular de 19 de Junio de 1815 debían disfrutar, y qué se publiqué en )a gaceta para su satisfacción.…</t>
  </si>
  <si>
    <t>Forner, Manuel</t>
  </si>
  <si>
    <t>Manuel Forner</t>
  </si>
  <si>
    <t>…ía , Vi lia joyosa , Ibiza, Tarragona , Mallorca, Altea, Tortosa-y Torre vie ja. Y han salido"barco S Agustín,¿patrón Miguel Tonda, para Cádiz, con cebada; bergantín Espoz y Mina, capitán D. Manuel Forner, para ídem, con vino; barco S. Antonio, patrón Vicente París, para ídem, con cebada y almendrón ; 2 ingleses para Gibraliar é Irlanda; 2 suecos para 5 Barcelo na; un sardo1 para Genova ; un-napolitano para Ñápeles, y 17 españoles para Burriana, Santapola, Val…</t>
  </si>
  <si>
    <t>Fórnier, Josef</t>
  </si>
  <si>
    <t>Josef Fórnier</t>
  </si>
  <si>
    <t>…erá á su provisión, y los que podrán dirigir las pretendientas á D. Ildefonso de Sienes, secretario del ayuntamiento en ía propia villa. Doña Vicenta Mendizabal y Cedrón, viuda de D. Josef Fórnier, capitán de ca ballería, y últimamente comandante del resguardó de rentas de Extremadura cotí resi dencia en Badajoz, ó sus herederos forzosos, podrán entrar eri correspondencia por el correo de Pontevedra, en Galicia, con D. Josef Arias y Seoane, abad de S.…</t>
  </si>
  <si>
    <t>Fornier, Josef</t>
  </si>
  <si>
    <t>Josef Fornier</t>
  </si>
  <si>
    <t>…con el de bachiller en ella. Su presentación debe hacerse por el Excmo, Se ñor duque dél Infantado, patrono único de dicha iglesia. , ” Dona Vicébtá Méndizabal y Cedrón, viuda de D. Josef Fornier, capitán de ca ballería , y últimamente comandante del resguardo de rentas de Extremadura cón resi dencia en Badajoz, ó sus herederos forzosos, podrán entrar éñ’correspondencia por él correo de Pontevedra, en Galicia peón D. Josef Arias y Seoane, abad de S. A…</t>
  </si>
  <si>
    <t>Foronda, Valentín</t>
  </si>
  <si>
    <t>Valentín Foronda</t>
  </si>
  <si>
    <t>…&gt; Observaciones sobre la 8.a edición de la ortografía castellana de la Real ¿cade? mía española, y sobre algunas de las frases del prólogo de su gramática de la 4.a edi ción. Por D. Valentín Foronda : un tomito en 8.° Se vende en esta corte en la libre ría de Sojo á 3 rs. ^ . . Arte de conservar la salud y prolongar la vida, por Mr. Presavin, y traducido al castellano por Di Bartolomé Gallardo, corregido y aumentado en la segunda edi ción por un amante d…</t>
  </si>
  <si>
    <t>Fouribt, Claudio</t>
  </si>
  <si>
    <t>Claudio Fouribt</t>
  </si>
  <si>
    <t>…sultaba del informe ' del juez de diligencias Mr. Van-de-Casteele , ha declarado libres de todo cargo á los señores Marx y Fontaine, ambos belgas, y vecinos de esta capi tal, y al señor Claudio Fouribt,francés, mandando ponerlos en libertad: y ha decretado la prisión de los demas, que son Alejandro Laborde, prófugo ;.Clau-</t>
  </si>
  <si>
    <t>Fr</t>
  </si>
  <si>
    <t>…ria tan grato recuerdo. El frontis estaba cubierto de un rico manto imperial, y los costados con las ar mas Reales y las de la religión de S. Benito. Pronunció la oración el R. P. D. Fr. Manuel Merino, prior mayor del referido monasterio, y juez examinador sinodal del Real y supremo Consejo de las Qrdenes., .Guadalajara. jo de Febrero. , &gt; Apenas el Lie. D. Pedro Julián Aupetit recibió como presidente del limo, ayuntamiento de esta ciudad la…</t>
  </si>
  <si>
    <t>Fraádsco</t>
  </si>
  <si>
    <t>…icó d 31 dé Octubre último. ,, Dios guarde á vmd. muchos años. Ajuchitlan Noviembre 17 de 1818= Josef. Joaquín de Herrera. r±Sf, teniente coronel y comandante general inte ■rino. :D. Fraádsco^eypandez de. Avilés/V ■.‘v ~</t>
  </si>
  <si>
    <t>Fraile, Manuel</t>
  </si>
  <si>
    <t>Manuel Fraile</t>
  </si>
  <si>
    <t>…D. Ramón de Adurriaga, deán de dicha santa iglesia, oficiada por la capilla música de ella en el estilo mas patético: siguió la oración fúnebre, compuesta y pronunciada por el Dr. Don Manuel Fraile, dignidad de prior y canónigo penitenciario de la misma, elec-± lo obispo de Sigüenza. Todas las corporaciones, autoridades civiles y militares, los prelados de las comunidades, y un inmenso gentío acompañaron al ayuntamiento á esta fúnebre función, manifesta…</t>
  </si>
  <si>
    <t>…Soberanos Ibfe habí tintéis ae aquella Ciudad. En el día 23 del pasado se consagro en. Ia iglesia del Real monasterio de la Visitación ('vulgo las Safesas) dé esta corte el limó. Sr. D. Manuel Fraile, obispó de Sigtieft¿a, dignidad dé príqr, y caqdnigo penitenciario, que fue en la santa iglesia metropolitana de Burgos, siendo su consagrante el limo. Sr. obis po dé Teruel , asistentes los limos. Sresi obispo auxiliar de Madrid y obispo dé Zaina in gartibus…</t>
  </si>
  <si>
    <t>Fran</t>
  </si>
  <si>
    <t>142 El Rf.y nuestro Señor se ha servido conceder su Real permiso á D. Fran cisco de Miangolarra y Real , oficial primero del ministerio político de la Ar mada en el puerto del Callao de Lima, para que pueda usar del distintivo de la flor de Lis con que S. M. Cristianísima ha premiado su adhesión á la augusta casa de los Borbones. Me…</t>
  </si>
  <si>
    <t>…gua al Dr. D. Manuel López de la Plata. ^ Asimismo se ha dignado nombrar para la regencia de la Real audiencia de Quito, vacante por jubilación de D. Francisco Xavier Esterripa, á D. Fran cisco Xavier Manzanos: para la plaza de alcalde del‘Crimen de la Real au diencia de Lima » vacante por fallecimiento de D. Manuel de Irigoyen, a D. Vicente Ródrigiiez Romano: para la alcaldía mayor de Nata, en la pro vincia de Panamá, vacante por cesación de…</t>
  </si>
  <si>
    <t>…ros se les ha dado libertad para que conozcan sus yerros, y la generosidad de los gefes de S. M. Los subdelegados de Chayanta entrante y saliente teniente coronel D. Pedro Eraso y coronel D. Fran cisco Xavier Velasco, en virtud de mis prevenciones para que obrasen con actividad y en combinación con las tropas de Arque, con fecha del 8 me avi san que el teniente de milicias D. Bernardo Gutiérrez, encargado de una pe queña fuerza para guardar el punto d…</t>
  </si>
  <si>
    <t>…dé practicante de humero de'medicina de egército, que le corres ponde por él artículo 3.0 de la referida circular. -f -Po/ otra de 9 del propio mes sé ha servido S. M. conceder á D. Fran cisco Vi ñasresidente en la villa de Guaro, en la Hoya de Málaga , el fuera militar y Uso de uniforme de practicante de cirugía militar de egército, que le corresponde por el artículo 2.0 de la citada circular. /Y por .otra del mismo dia se ha servido concede…</t>
  </si>
  <si>
    <t>…n Cádiz en la de Zaragoza; éíf Santiago en la de. Rey y Romero; en Barcelona en casa de D. Narciso Oliva; en Zaragoza en la de D. Pedro Marin, del comercio, y eriValéndiá én la de D. Fran cisco Navarro. . • ■ : * £1 décimo trimestre de la suscripción á la Crónica científica y literaria concluye* el último dia del presente mes. Los .suscríptores que .quieratu continuar recibiendo puntualmente este periódico acudirán á renovar sus suscripciones…</t>
  </si>
  <si>
    <t>…io Vázquez, que salió contuso; D. Be* nito Boves y D. Francisco Sainz; los tenientes D. Hilario Noguera; D. Juan Bolet, D. Josef Antonio García y D. Benito Ostos; los subtenientes D. Fran cisco Bolet y D. Manuel Rodríguez; los sargentos primeros Agustín Luqué y Pascual Soto, y los segundos Pedro Heredia y Paz Perez, distinguiéndose es tos individuos én todos los actos en que eran mondados, animando con su egemplo á la tropa, y deseando á porfí…</t>
  </si>
  <si>
    <t>Fran, Francisco Orcialy D</t>
  </si>
  <si>
    <t>Francisco Orcialy D Fran</t>
  </si>
  <si>
    <t>…ban reuniendo, tomando prisionero al capitán y siete. Hombres, matándoles 10, y haciendo arrojarse al rio los demás. Han contra!-1 do singu-Iar mérito los tenientes de carabineros D. Francisco Orcialy D Fran cisco Alvarez , siendo herido el primero; el alférez D. Miguel. Guzman, el sargento primero Santos Miguel y el segundo Venancio Rodríguez, y el distinguido D. Pedro Acosta. Lo comunico á V- S. para su conocimiento y satisfacción. Dios guarde á V. S. muchos añ…</t>
  </si>
  <si>
    <t>Fran-</t>
  </si>
  <si>
    <t>…elocuentísima oración fúnebre: ejí^rvl). Pablo Roza , canónigo magistral de la misma santa iglesia.; Un ce-, nbítafia del mejor . gustó A dispuesto. por el arquitecto de la ciudad D. Fran-1 cisco Muñiz , que se elevaba 55 pies sobre el pavimento del templo» contenía en su segundo cuerpo la urna sepulcral marmoleada en blanco, sostenida de un grupo de leones; desprendiéndose á los frentes del altar mayor y coro dos banderas con las armas Reales…</t>
  </si>
  <si>
    <t>Francis</t>
  </si>
  <si>
    <t>…onocer por solo el pulso las partes afectas en las enfermedades, ó atacadas de la causa, su estado de ir ritación mayor ó menor, y ."su disposición I libertarse de ellas, su autor D. Francis co Javier Cid. Se hallará en la librería de Arribas, calle de las Carretas, y en To ledo en la de Hernández. , ? (' ■■■ EN LA IMPRENTA real.</t>
  </si>
  <si>
    <t>…gio, después de haber dado el debido cumplimiento á sus promesas, aeordó que todos los autores de las restantes memorias acu diesen á recogerlas, si gustaban, de mano de su actual secretario D. Francis co Leocadio Zazo de Lares, que vive en la calle de las Negras, número 3, cuarto principal. A R TI CULO DE-OFICIO* Hesúmen de las últimas noticias sobre sanidad fiiblica. En las provincias litorales del reino, islas adyacentes, plazas y presidios del Africa la…</t>
  </si>
  <si>
    <t>…el acierto con que en lo general contesta ron las niñas; pero sobre todas se distinguió Doña María del Rosario. Alon so, de edad:dé í&amp; años, del barría de Buénadicha, disctpüla de D. Francis co Lercar., maestro Real del barrio de Afligidosesta niña presentó un papel con diferentes clases;de letra tan hermosa, con tal gallardía y perfección,, que admira á cuantos la vieron. Por último se presentó por la diputación de SanIldefonso á la niña MaríasA…</t>
  </si>
  <si>
    <t>Francisca</t>
  </si>
  <si>
    <t>…ido las acostumbra das demostraciones de amor y-respeto. ’ Madrid igde Octubre. . En el día 9 del corriente cí Sr/ Infante D: Carlos María Isidro , y en el dia. 11 el Sr. Infante -D. Francisca deBáula, tuvieron -la dignación de visitar con sus Serenísiínas Jísposas. lia Real biblioteca dé’ S. M.,,colocada reciente mente en la casa contigüa al colegio!denDoña María de Aragón. SS. A A. ma nifestaron suma complacencia ai ver que un establecimiento tan…</t>
  </si>
  <si>
    <t>…cuanto el Lie. L&gt;. Juan Velarde Corro, prebendado déla Real colegiata de esta villa, hijo de D. isidro Velardé y Doña Francisca del Corro, y hermano de D. Isidro, D. Antonio y de Doña Francisca, casada con D. Juan de la Vega Noruega, vecino del lugar de Camíjanes, y de Doña María y Doña Catalina Velarde, en su testamento que otorgó en 15 de Octubre de 1672 ante Gonzalo Cortiguera, mandó la casa que habitaba en la calle del Cantón con su huerta por d…</t>
  </si>
  <si>
    <t>Francisca, María</t>
  </si>
  <si>
    <t>María Francisca</t>
  </si>
  <si>
    <t>…e aquel Real sitio, salió de él hoy á las siete de la mañana, y llegó á las once á esta corte, entrando por la puerta de Atocha en un coche descu bierto con la Serma, Sra..Infanta Doña María Francisca , acompañadas de los ;Sermos. Sres Infantes D. Carlos María y D. Francisco de Paula, que iban a! lado del carruage á caballo; á cuyo fin habían salido SS. AA. á las 9 al en cuentro de aquella augusta'Señora. En. esta forma se dirigieron por el Prado, calles d…</t>
  </si>
  <si>
    <t>…* donde los recibió la orden formada en capítulo, compuesto de 104 caballeros, quienes tuvieron asimismo la satisfacción de disfrutar la agradable presencia de las Sras. Infantas Doña María Francisca y Doña Luisa Carlota, que se sirvieron asistir á la función desde una tribuna. La entrada y salida del capítulo fue anunciada con toques marciales por la música del regimiento dé infantería de Fernando vn. Se celebró una solem ne misa, en que ofició de pontifical el Emo. Sr. card…</t>
  </si>
  <si>
    <t>ii 54 riísima Sra. Infanta Doña María Francisca dé Asís, y un S. Gerónimo pinta do al oleo con gran perfección por el Sermo. Sr. Infante D. Francisco de Pau la. -Adornaban ademas aquella sala dos retratos del Rey nuestro S.eñor, uno de medio cuerpo al natural y otro mas pequeño dé cuerpo entero, igualmente…</t>
  </si>
  <si>
    <t>Francisca, María Isabel</t>
  </si>
  <si>
    <t>María Isabel Francisca</t>
  </si>
  <si>
    <t>…á 6® tercios de harina, azúcar y otros efectos del país.” Yévenes2 de Febrero. Habiéndose recibido en este pueblo la infausta noticia de la muerte de S. M. la Reina nuestra Señora Doña María Isabel Francisca, el cura propio de la única parroquia de Sta. María la Real D. Antonio Ruiz Medina dió las disposiciones conducentes para que en el dia mismo del recibo se cla morease á vuelo de todas las campanas, y precedido el convite del clero, ayuntamiento y pueblo en e…</t>
  </si>
  <si>
    <t>Real y supremo Consejo cíe Castilla la noticia deplorable de la temprana muerte de S.M. la Reina nuestra Señora Doña María Isabel Francisca i&gt;e Lraganz a. (que e. paz descansa), con el mayor sentimiento dio cuen ta de este fatal suceso al ilustre ayuntamiento que preside, el cual manifes tó el mas proiundo dolor por la pérdida, de un a Soberana que era sus deli cias y esperanzas. El sonido lúgubr…</t>
  </si>
  <si>
    <t>Francisco</t>
  </si>
  <si>
    <t>…claración de herederos que se solicita por Doña Damiana Díaz de Durana, viuda de D. J uan- Joaquín Basterra, y Doña Rodriga Francisca de Basterra, madre y hermana . respective del D. Francisco; con apercibimiento que no verificándolo dentro de di cho término les parará el perjuicio que haya lugar. Se halla vacante el partido de médico titular de la villa de Mombeltran, provin cia de Toledo, distante siete leguas de Talayera de la Reina/sudótacion 6…</t>
  </si>
  <si>
    <t>…scobas y otrés del término de la dicha villroel Corral por 10 mrs. cada carga y 40 i&amp;8$ípGar, cada carro que se hayía dado por Atense Ruta. y &gt; v ' ? if. IMa cscritura dé cense de D. Francisco de la Presa y sus sucesores contra D. Juan Alonso Pimentel, conde de Benavente y sus sucesores en su 1 fpj * ante elestado, impuesto con ¿acuitad Real, su fecha 1de Marzo de escribano del número de esta corte Pairo de Arce. ■</t>
  </si>
  <si>
    <t>esta leyenda: JVulla pallescere culpa. Tanto S. E. como todo el concursa aplaudieron la aplicación de estos jóvenes y el zelo de sus maestros. Madrid i.° de Marzo. D. Francisco y D. Joaquín de Campuzano Han tenido el honor de hacer presente al Rey, á nombre del ayuntamiento de Logroño y de sus conveci nos, el profundo dolor de tan fieles como honradas castellanos por la infaus ta muerte de nuestra augusta Reina Doí&amp;ra María Isabel de Braganza. Y S. M. ha recibid…</t>
  </si>
  <si>
    <t>…rables capitanes que han fallecido-,, y quedan, con. crecida familia., j Sigue una recomendación particular de los sugetos siguientes c ,, El capitán' Di Alejandra Luvian ; ¿i Br, D. Francisco* Perez ; los tenien tes í&gt;. ManueL Ventura Filio»» D, Blas. Azcarate y P. Josef Joaquín. Cowley;, el subteniente D. Pascual Reina » los capitanes IX Gregorio Hernández y Dom</t>
  </si>
  <si>
    <t>…cipales gefes , cuya cabeza remitió y fue colocada al público para escarmien to general; cogiendo ademas algunas caballerías y otros efectos de poca con sideración.__ El teniente coronel D. Francisco España, comandante de la expedición volante y guarnición de Mohosa, me ha comunicado que Chin chilla, reunido con los dispersos de Gandariilas de resultas de la última ac ción, y con la indiada y cholada de Palca, tuvo la osadía de acercarse en dos ocasiones á la in…</t>
  </si>
  <si>
    <t>…00 pe sos de la propia creación, número 3^ 1,971 ;y_cuatro de 15.0,pesos de 1° de Setiem bre, números 172,290, 172,294, 172,309 y 1 $8,379, cuya propiedad se[.^aJU re* clamada por D. Francisco, Quardiola , vecino de Priéga, para que dentro. debpreqsQ y pereptórió ¡terminó de 15 (dias, primerossiguientes ál de este anuncio, compárez^ can á deducido en el expresarlo Juzgado y dicha escribanía; cón apercibimiento ^que pasado sin hacerlo les parará el…</t>
  </si>
  <si>
    <t>…militares'd patriotas que ^hubiesen muerto en defensa de la justa causa de la nación f luí i Cabido en suerte del primer extracto1 de la de este día i Doña Tomasa Muñoz v hija de D. Francisco, músico mayor de'Ca rabineros Reales, muerto en el campo del honor. ^ &gt; O DE- * OFICIO,■ ' &gt;'•’ '■ ■ &gt; i'•?A . RTi IGV ."¡r.¡í7'üli S. M. se ha servida nombrar pata'; dos plazas de, oidores de la Real au diencia de Valencia, vacantes por promoción de D. Migue…</t>
  </si>
  <si>
    <t>…...................... 1 -ir • - &gt; . , • ■ - • . • ; ■ • . - &gt; • • ' El puerto de Baños , que hasta .ahora estaba inutilizado, se halla enté.ramente compuesto pior los empresarios D. Francisco y D. Pedro Redondo, de modo que pueden transitar todo género de carruages con la mayor comor cdidiad- Siendo este punto tan, interesante para Ja comunicación de .Extremadu ra y Castilla la Vieja, se avisa para noticia y gobierno del público. ^____________-_______________ *_____…</t>
  </si>
  <si>
    <t>…des de casa y corte, los ayudas, porteros, gentileshombres de casa y boca, mayordomos de semana, grandes, gefes de palacio y embajadores jun to á S. M. yS. A. el Sermó. Sr.Infante D. Francisco: detras los capitanes de guardias", el Excmo. Sr. primer secretario de Estado y del Despacho, los ofi ciales de guardias &amp;c, Cuando entró S. M. en el salón todos quedaron de pier ia guardia hizo lós honores: cuatro cadetes se colocaron junto al trono, y cuatr…</t>
  </si>
  <si>
    <t>^ce híssp áe'que íiiego que-íHegase ál parage 'dóñdé se-hallase’el Sf. Infan te D. Francisco haría la entrega formal de la Real Persona de dicha Señor* Infanta ¡ hallándose presente, ó á quien tuviese el Real poder; y cumplien do el* marque^ de la i Lapilla'con la obligación 'que contrajo por el referido sctoydiáho la ^eñitrega-íde ?laiReal Persona d…</t>
  </si>
  <si>
    <t>…n del segundo regimiento de infantería de Valencia, muerto en el campo del honor. ARTICULO DE OFICIO, • El Rey nuestro Señor se há dignado conceder los honores de su predica,doí á*D. Francisco d£ Paula" Villegas., ctira párroco del pueblo y partido de Xécélehákáu',;obispado de. (Yucatan .^'en' atención á stls distinguidos servicios . y al sihgulár lucimiento coíi'dúé egerce la predicación. ’ ” ' 1 ’ r ■ '."'c-i'.i „v,3 " ^ ’’ Por Reales órdenes de…</t>
  </si>
  <si>
    <t>IQ$Q naridez; *“D. Francisco déPaiila Scaríatí; D.: Gerónimo Diego Sánchez, y Do» Pedro Bulliez. - ’ .j 1 Honores de gentileshombres de la Real casa. A D. Luis Pizana; D. Manuel de Ibarra y Padilla ; D. Francisco Florez, y D. Pedro Josef Lesaca. Sumilleres supernumerarios de cortina. Al…</t>
  </si>
  <si>
    <t>…I marques de SÍ. Miguel de Híjar , vecinos de la-ciudad £de Lima. -j.V. A instancia de los comisionados para el- examen^y ^conocimiento de créditos de la testamentaría del difunto D. Francisco de las Barreras , vecino y del comercio que fue en esta corte, y en virtud de providencia del Sr; DrMartm de Gaztañaga, del Consejo de S. M., su alcalde de-Casa y Córte , refrendada del escribano de provin cia y comisiones de la misma Manuel López de Rivas i…</t>
  </si>
  <si>
    <t>…ras dure la epidemia. En seguida han entregado por una vez para socorro de ios pueblos afligi dos con ella: Número i.° D. Ignacio Abadía 1600 rs. vn. Núm. 2° D. N. 500. Nú mero v° D. Francisco íernandez Vega 120. Núm. 4.0 D. Torcuato Torio de la Riva 300. Núm. 5.0 Doña N. 40. Núm. 6° D. N. 121 rs. y 22 mrs. Núm. 7.0 D. M. Z. 320. Núm. B.° D. N.112. Núm. 9;° D N. 320 rs. y 24 mrs. Núm. 10. D. N. 100. Núm. n. D. Josef Valls de Roca 200. Nú mero 12. D…</t>
  </si>
  <si>
    <t>…®. Núm. 496. Ei colegio de Madrid, de escribanos notarios de los reinos, á nombre de todos sus individuos, i®. Núm. 497;J30n J. A. 66 rs. y 18 mrs. Núm. 478. D. G H. 20. Núm. 499. D. Francisco» Xavier Givert 100. Núm. 500. D. Ignacio Ximenez y Jarauta 20. Núm. 501. El contador y oficiales de la contaduría general de rentas decimales del reino' 880. Núm. 502. D. Fernando del Río y Mateo, de menor edad, guardia de la Per-sona del Rey nuestro Señor, 1…</t>
  </si>
  <si>
    <t>Francisco, Manuel</t>
  </si>
  <si>
    <t>Manuel Francisco</t>
  </si>
  <si>
    <t>…de D. Juan Vázquez Agüero, sobre la vi lla de Masegoso, su jurisdicción, tercias y demas bienes. , 9. '0' Testamento que en Ja ciudad de Córdoba,,en 18 de Junio de 1730, otorgó el Sr. D. Manuel Francisco de la Portella Herrera, inquisidor mas an tiguo del Sto. tribunal de la expresada ciudad ¿'ante AlonsodéXagunaySantana,: escribano del número de ella. .O . , j ' &lt; i lo'. Testimonio de la hijuela de los bienes adjudicados á D. Eduardo Gelabert de los bienes q…</t>
  </si>
  <si>
    <t>Francisco, ZX Miguel</t>
  </si>
  <si>
    <t>ZX Miguel Francisco</t>
  </si>
  <si>
    <t>…ri/to; „ Dios guarde á V. E. muchos años. Valladolid Abril 25 de 1818.= Excmo. Sr. = Matías. Martin y Aguirre. =Excmo. Sr.. virey D. Juan Ruiz de. Apodaca.” ' Parte del teniente’ 'coronel ZX Miguel Francisco, Barragan, al comandan, te, Ifi, Mntáas;-Martin y Aguirre;., /' Desde, el momento que V. S. tuvo á bien nombrarme comandante de&gt; este valle de Urecho, me dediqué primero á buscar con ansia la gavilla def rébelde.ChiYilinirpara ver si lograba batirla y situar…</t>
  </si>
  <si>
    <t>Francisco-Solano</t>
  </si>
  <si>
    <t>…en el paso, Mgrrereño, de los cuales la mayor parte se hallaban destrozados por las granadas, que con mucho acierto dirigió á las trincheras el capitán coi¡nandante d^í artillería D. Francisco-Solano. ■' ,, Nuestra pérdida en atrevida operación consiste en ó soldados muer dos, nn oficial y 26 soldados heridos^y 17 contusos. ,, Estamos ya en los fértiles hatos del Merecure, qvie creian los rebelv t dEl genérate r gefe fneel primero en? dar egemplo^y abrazá…</t>
  </si>
  <si>
    <t>FranciscoCoello</t>
  </si>
  <si>
    <t>…estaba sobre?I* oblación, y sumamente baja, ;por lo que en Iqs ¿truenos mas fuertes que 1 Cayó. ademas un rayoSespidió se advirtió algún movimiento eh ips edificios* en la casa de D. FranciscoCoello, cjrujañoti rular de la. ciudad, y derriban do una chimenea penetró en un. cuarto dónde dormian dos personas; pero afortunadamente no les causó la menor lesión. 1 $• Sebastian 4 de Julio. . En el discurso del mes pasado entraron en este puerto 19 buques, uno…</t>
  </si>
  <si>
    <t>Franco, Benito</t>
  </si>
  <si>
    <t>Benito Franco</t>
  </si>
  <si>
    <t>rt i'9't días ellas. También es digno de la consideración del Excmo. Sr. general en ge fe el capitán D. Benito Franco y el teniente DI Pablo Salazar; él que ademas de haberse distinguido en lo riguroso dé la acción , se quedó’de observación en nuestra retirada, y batió con cuatro carabineros á un capitán y 70 solda dos enemigos que se estaban reuniendo, tomando prisionero al…</t>
  </si>
  <si>
    <t>Franco, Juan Josef</t>
  </si>
  <si>
    <t>Juan Josef Franco</t>
  </si>
  <si>
    <t>…n la de D. Josef Mora ; en Teruel en la de D. Antonio Herrero; en Zarago za en la del'Lie:’D» Mariano Herrando; en Alicante en la de D. Francisco Sarget; en-Cartagena en/la dcXDr. D. Juan Josef Franco;.en Orihuela en la, de D^Jósef Salón; en Tarragona; en ia-,dei . Dr. D. Juan Bautista Argués; • e,n Lérid 1 en 1a ide T¡&gt;:.'¡Antoíiip, Férrerí;. enjCervera. en la de D, .Josef Vicente. .Soler;en Gerona en la deí Dr. D. Narciso Viñas.; en Bilbao en la del fie.…</t>
  </si>
  <si>
    <t>Franco, Juan Perez</t>
  </si>
  <si>
    <t>Juan Perez Franco</t>
  </si>
  <si>
    <t>…rte: su dotación es la dé 700 ducados págados del ramo de propios por trimestres, con mas alguna otra adeala. Quien quisiere dirigir sus pretensiones podrá hacerlo con dirección á D. Juan Perez Franco, escribano de aquel ayuntamiento, hasta el 6 de Enero próximo. En cumplimiento del anuticio hecho en la gaceta de 2 de Enero del presente áño de 1819, en el que se ofreció entregar mensualmente la obra del Compendio dei Año Cristiano, 12 tomos en 12.0, con 36…</t>
  </si>
  <si>
    <t>Franco, Pedro</t>
  </si>
  <si>
    <t>Pedro Franco</t>
  </si>
  <si>
    <t>…da uno de.ellos aca-; baba de hacer,. para recibir de la Real mano el premio que esperanzados coa tan singular favor habían procurado merecer con la mas constante . aplicación. El Sr. D. Pedro Franco, \VÍce-protéctor deTla Real academia de S. Fernando^ los Sres. D. Jóséf Maé*a y D. Francisco Elias ¿ 'director:y vice-dírectbé. deÍ7 a misma , habían juzgado de antemano el mérito de las obras, y señalado, Ios&gt; respectivos premios; y S. M., después de haber v…</t>
  </si>
  <si>
    <t>Franklin</t>
  </si>
  <si>
    <t>…o Katcket, y algunos otros menos conocidos. ; be dice que en ung excursión recientemente hecha á las montañas de Kudukpeor, situadas en las cercanías de Nongeer, ha encontrado.,el coronel Franklin (que tanto ha ilustrado las.-aptigiiedades orientales ^venciendo mu chas dificultades para determinar lá, posición, de la antigua ciudad de Palíbotiera) una estatua colosal, que se hallaba e,n üñ sitio inmediato á la ciudad de; Jeinnagbur , distante unas nuev…</t>
  </si>
  <si>
    <t>Fréémantle</t>
  </si>
  <si>
    <t>…ucha estima estos dos manuscritos, cuya adquisición será sin duda muy grata á todos los amantes de la literatura bohema. • ' ITALIA. &lt; ‘ * ' 1 . • ! &gt; "Ñapóles 18 de Setiembre. El almirante Fréémantle, que había ido con su escuadra á Tolon , ha en* contrado en aquel puerto la orden de pasar con una división francesa á las costas del Africa para declarar á los Gobiernos berberiscos que la Francia y la Inglaterra no permitirán que continúen haciendo sus pira…</t>
  </si>
  <si>
    <t>Fréile', Beatriz</t>
  </si>
  <si>
    <t>Beatriz Fréile'</t>
  </si>
  <si>
    <t>…de 1807 está re servado á los hijos , nietos, y biznietos del Lie. D. Bernardo Perez de Herrera, el derecho que puedan tener al crédito-de 47977 rs. y 32 mrs , correspondiente á -Doña Beatriz Fréile', contra el estado del marquesado de Fromista, y á los rédi tos, vencidos y mandados pagar por la sentencia; cuya cantidad, unida á la ante cedente, asciende á 384891 rs. y 23 mrs., de que deberán deducirse 89130 rs. so bre que se fundaron los dos patronatos q…</t>
  </si>
  <si>
    <t>Freile, Juana Caldera</t>
  </si>
  <si>
    <t>Juana Caldera Freile</t>
  </si>
  <si>
    <t>…por la sentencia; cuya cantidad, unida á la ante cedente, asciende á 384891 rs. y 23 mrs., de que deberán deducirse 89130 rs. so bre que se fundaron los dos patronatos que dispuso Doña Juana Caldera Freile, hijade la Doña Beatriz, en el convento que fue de Sta. Clara de esta corte, y i cuy©</t>
  </si>
  <si>
    <t>Freites, Encarnación</t>
  </si>
  <si>
    <t>Encarnación Freites</t>
  </si>
  <si>
    <t>…on Manuel M'elián; ál cápítan de la sexta del segundo de Numancia D. Martin Echagarai; al teniente de cazadores del mismo batallón D. Manuel Mayoral, y subtenientes Vicente Ruiz y D. Encarnación Freites; y finalmente al te niente del batallón del Tambo D. - Agustín Ordoñéz, que en clase de oficial de estado mayor desempeñó las comisiones que se le confiaron con el mayor acierto y valor. ,, Varios Sargentos, cabos y soldados han egecütado acciones del mayor m…</t>
  </si>
  <si>
    <t>Fresierra, Alonso</t>
  </si>
  <si>
    <t>Alonso Fresierra</t>
  </si>
  <si>
    <t>…so de D. Justo Buróz. á una canongía de la misma , á D. Bartolomé Cerdá, Asimismo se ha dignado nombrar para la asesoría de la intendencia de, Soaora, vacante por fallecimiento de D. Alonso Fresierra, á D. Pedro Josef-</t>
  </si>
  <si>
    <t>Frimont</t>
  </si>
  <si>
    <t>…ñalando determinadamente entre estos ilustres personages al barqn de Caraman, embajador de Francia, y conde de Golowkin , embajador de Rusia. Todavía permanece en esta .capital el general Frimont; pero saldrá i fines de este mes para estar en Venecia á la llegada de SS. MM. j, Ha vuelto á_ocupar( $p -plaza en-la cancillería suprema de Estado y de Corte ebconsejero áulico, J^r, derGentz,; ;y se presume que acompañe á Ita lia al príncipe de Metterpichel…</t>
  </si>
  <si>
    <t>Frontín', Josef Villar y</t>
  </si>
  <si>
    <t>Josef Villar y Frontín'</t>
  </si>
  <si>
    <t>…ada1 uno; cuyo último remate se ha de celebrar entre 10 y 11 de la mañana del din 10 de Setiembre próximo, en la calle de Leganitos, casa nutrí. 5.0, cuart'ó principal, anté elSr. D. Josef Villar y Frontín', secretario director de las en comiendas que poseyó el Sermo. Sr. Infante D. Antonio (q. e. p. d.), y el coronel D. Juan Blasco Negrillo, contador general de las mismas ; en inteli gencia de que hasta el referido dia se admitirán las mejoras que quieran hacer…</t>
  </si>
  <si>
    <t>Frontín, Josef Villar y</t>
  </si>
  <si>
    <t>Josef Villar y Frontín</t>
  </si>
  <si>
    <t>…de vn. 'en cada uno, cuyo ultimo remate se ha de celebrar entre 10 y 11 eje la mañana del dia 15 del corriente^ en la calle de Leganitos; nám. 5 , quarto principal, ante el Se ñor D. Josef Villar y Frontín ,.secretario director dé las encomiendas que poseyó el Sermo. Sr. Infante D. Antonio (que en paz descanse), y el coronel D. Juan Blasco ^Negrillo, contador general de las mismas; en inteligencia de que hasta el referido día se admitirán las mejoras que quiera…</t>
  </si>
  <si>
    <t>…onio de Novoa, coronel dé mi licias; el brigadier D. Sebastián de Ríndelan; id. D. Antonio'-María Alvareé; D. Ignacio Perez de Lente, oficjál dé la primera secretaría dé testado ; D. Josef Villar y Frontín, oficial de la secretaría dél Despacho dé Hacienda; Ddn Honorato Bouyon, brigadier; D. Pedro Leonardo Noriega, teniente coronel; D. Antonio Garfias y Patino, oidor honorario de la Real audiencia de Quitó; D. Juan Manuel de Elizalde, oidor de la Real audiencia…</t>
  </si>
  <si>
    <t>Frqiftápqp</t>
  </si>
  <si>
    <t>…de Cámara de S. M., su secretario de Cámara. Debajo de la firma de S. M. pusieron las su yas por su órden los Sermos. Sres. Infantes D. Cárlos María, Doña María Francisca de Asís, D. Frqiftápqp/iq Pau^^rípopa Luiga Carlota, llevándoles</t>
  </si>
  <si>
    <t>Frutos, Agustín</t>
  </si>
  <si>
    <t>Agustín Frutos</t>
  </si>
  <si>
    <t>…al de estudios por el Sermo. Sr. Infante D. Francisco de Paula, pro tector de la cirugía , quien con su natural modestia y agrado se dignó escuchar la arenga que le diriuió el Dr. D. Agustín Frutos, felicitando á la cirugía es pañola y á los colegios de la misma facultad por la gracia inapreciable que un Re* magnánimo y amante de las ciencias la había dispensado, poniendo á su frente por protector un personage tan augusto como bondadoso. En seguida el D…</t>
  </si>
  <si>
    <t>Fuenlabrada, Manuel Ruiz</t>
  </si>
  <si>
    <t>Manuel Ruiz Fuenlabrada</t>
  </si>
  <si>
    <t>…n los padres.de los pupilos ú otros forasteros 'que asistieren á las horas de estudio. Los.pretendientes dirigirán sus solicitudes , iran ias deporte, al escribano de ayuntamiento D. Manuel Ruiz Fuenlabrada hasta el 10 dél próximo Setiembre, en que deberán presentarse al examen’ y censura. , • En la villa de Peralta de Navarra, situada en la ribera dé aquel reinó, se hállá Vacante el partido de cirujano de estuche, dotada con 690 pesos, dé á í Ó rs. Vri. cada un…</t>
  </si>
  <si>
    <t>Fuertes, Pedro</t>
  </si>
  <si>
    <t>Pedro Fuertes</t>
  </si>
  <si>
    <t>…studios y la academia de dibujo establecida en la misma bajo la protección y dependencia de la de S. Fernando. Empezó el acto per la clase de latinidad, cuyo maestro de rudimentos D. Pedro Fuertes dijo una elegan te oración latina, dirigida á probar el influjo de las letras en Jas costumbres, y en la mejora y perfección de las ciencias. Los alumnos respondieron con exactitud á las preguntas que se les hicieron sobre el mecanismo y elementos de la lengu…</t>
  </si>
  <si>
    <t>Fuertes, Tomas Linacero y</t>
  </si>
  <si>
    <t>Tomas Linacero y Fuertes</t>
  </si>
  <si>
    <t>…s egércitos, y caballero gran cruz de Ja militar de S. Hermenegildo ; D. Manuel Orgaz, de la Real y distinguida de Carlos m; D; Domingo Talceto, regidor perpetuo de dicha ciudad ; D. Tomas Linacero y Fuertes, intendente honora rio de Provincia; D Atanasio Dávalos, teniente coronel, y . D. «Patricio Orííiz Pareja, capitular jurado perpetuo de la misma ciudad*-y secretario de. di*cha santa hermandad; y el primero dijo: ’ . 1 ’ Señor : - r ‘ ,,Vuestra santa y Real h…</t>
  </si>
  <si>
    <t>Furstenberg</t>
  </si>
  <si>
    <t>…ermo á la prhwer^Cámarav^e la cual es presidente, que tenia que hacer un viage á Petersburgo, y que quizá tardará en volver^con cuyo moííyd 'áéardó"'la Cámara que la presidiese el príncipe Furstenberg, nombrando en su lugar por vice-presidente á Mr. de Ba dén, dé“FfÍburg67'fe'n"’BfisgáW;^ • -;---, . _ Idem. jó". En la sesioiroé la priifterá Cámara , del día ¿o-del córtflehSs, se dio cuenta de una representación de, la compañía alemana' de comercio y de ind…</t>
  </si>
  <si>
    <t>Fuster, Vicente</t>
  </si>
  <si>
    <t>Vicente Fuster</t>
  </si>
  <si>
    <t>…cantes por promoción de D. Juan Modesto de la Mota á oidor del mismo tri bunal , y traslación de D. Fernando Josef de Toledo y el Corral á otra de igual clase de la de Valencia, á D. Vicente Fuster y á D. Vicente Lisa y las Balsas, también alcaides del crimen de la expresada audiencia de Valencia. Igualmente se ha dignado S. M. conceder á D. Tadeo Ignacio Gil, gober nador de la sala del crimen de la insinuada audiencia de Valencia, los hono res de alcal…</t>
  </si>
  <si>
    <t>Fustes, Josef Antonio</t>
  </si>
  <si>
    <t>Josef Antonio Fustes</t>
  </si>
  <si>
    <t>la; Trinidad de D. Josef Antonio Fustes y D. Mamiel Sañtalli, y en lá de Yauricocha del difunto marques de la Real Confianza; todas las cuales rendían no,ha muchos años úna asombrosa abundancia de metales, hasta que susdue— ños tuvieron que1 abandonar el trabajo por la opilación que sobrevino; la cual ha cornenzadohoyá…</t>
  </si>
  <si>
    <t>G, A.</t>
  </si>
  <si>
    <t>A. G</t>
  </si>
  <si>
    <t>…Arza 120. Núm. 16. El brigadier Beza óo. Núme ro 17. D. Pablo Cabrero* y su esposa Doña Josefa Martínez 1300. Núm. ig. D. N. 60. Núm. 19. D. N. 40. Núm. 20. D. J. M. 160. Núm. 21. D. A. G. 2©. Núm. 22. D. N. 300. Núm. 23. D, N. 4. Núm'. 24. D. Custodio Alcaldeun vale Real de 150 pesos. Núm. 25. D. N. 100. Núm. 26. Doña N. 20. Núme ro 27. D. D. B . 100. Núm. 28. D. Francisco Lledias 200. Núm. 29. D. Do mingo Ortiz de Urbina 200. Núm. 30. D. R. A…</t>
  </si>
  <si>
    <t>G, A. M.</t>
  </si>
  <si>
    <t>A. M. G</t>
  </si>
  <si>
    <t>…. 626. El señor cura de S. Ginés de Madrid, por limosnas recibidas de sus feligreses, izf. Nún&gt;. 627. D. E. M. S. ico. Nú mero 628. D. N. 60. Núm. 629. Doña J. R. i.oo*--Núm. 630. D. A. M. G. 112 reales y 8 mrs. Núm. 631.^11 ílmoVSr. obrépo'i 5bo. Núm. 632. D. J P. W. 401 Nóm¿ 6331!):; J: S. 40. Núm. 634 -D; NU24. Núm. 63 5. D. F. X. L.&lt; 300. Núm. 636. El deán y cabildo de la santa iglesia metropolitana de Burgos 3®. Númf 637. Doña N. ióp. Núm. 63…</t>
  </si>
  <si>
    <t>G, Francisco</t>
  </si>
  <si>
    <t>Francisco G</t>
  </si>
  <si>
    <t>…Se hallará en la librería de Hurtado, cálle de las Carretas,, y en di puesto de Sán chez , calle de Atochaá 8 rs. ^en pasta y 6 en pergamino. f0 , ; . . Observatorio -rustico por D. Francisco G regorió de Salas, presbítero: .octava edi ción adornada cpn. siete-estampas del mejor gusto en el dibujo yt grabado., En la.prir mera, que sirve de portada, ademas de representarse-en alegoría la miísic,a, poesía y agricultura, va el retrato del. a u^ordiestr…</t>
  </si>
  <si>
    <t>G, G.</t>
  </si>
  <si>
    <t>G. G</t>
  </si>
  <si>
    <t>…cabildo de la catedral de Sigüenza T2oo. Núm. 647. El ilustre paborde de Manresa 300. Núm. 648. Don P. C. jo. .Núm. 649* D- N. io; Núm. Sjsás religiosos dominicos 640. Num. 651 - D. G. G. 60. Núm. 65 2. Dps. feligreses de la parroquia de San Andrés de Madrid, por mano de su párroco, 60. Núm. 653. Un feligrés de S. Sebastian de Madrid, por mano de su párroco, 8. Núm. 654. D. A. 40. Num. 65 5. Y. P. 200. Núm. 656. El señor cura de S. Josef de Ma…</t>
  </si>
  <si>
    <t>G, J.</t>
  </si>
  <si>
    <t>J. G</t>
  </si>
  <si>
    <t>…r. cardenal 'de-Scala, arzobispo de Totedo, 10®..Núm. 461. D. N’. 40 Núm. 462. Los ~\3tés. cuestores del cuartel de la Plaza, por-iá demanda semanal* Í2872 rs/y 20. mrs. Num. 463. D. J. G 100. Núm.- 464.fD¿. 'N. 10. Núm. 46^'. Sr .©. -V'. ñ. L. 500. Núm. 466. D: D. M . 20.rN^m¿í4,^7';,? señor» 'teñieítiteniiayof ~déiá! parroquia-de S. Luis de Madrid, por limosnas recibidas rde sus fdigne5^6 rs.^Nfim. 468. D. Josef Vázquez 12:0. Núm. 469 é-¡Di•…</t>
  </si>
  <si>
    <t>G, J. Y.</t>
  </si>
  <si>
    <t>J. Y. G</t>
  </si>
  <si>
    <t>…ontinúa la lista de los sugetos que han contribuido y se han suscrito en Madrid para socorrer los pueblos epidemiados. Número 385. C F, 300 rs. Núm. 386. D J. F. L. 40. Núin. 387. Don J. Y. G. y \1. P. M. roo. Núm. 388. D Pedro González 60. Núm. 389. D. A. F. R., en una letra á la vista, 500. Núm. 390 D. M. M. 20. Núme ro 391. D. C. L. 40. Núm. 392. Un señor eclesiástico 100 Núm. 393. Do ña Juana López 20. Número 394. La comunidad de Escuetas Pías…</t>
  </si>
  <si>
    <t>G, M.</t>
  </si>
  <si>
    <t>M. G</t>
  </si>
  <si>
    <t>…. 368. E. C. D. R. S. 320. Núm. 369 D. Y. S. 20 Núm. 370. D. A. R. de P. 40. Núm. 371, D. R. R., del comercio, 100. Núm. 372. D. C- V. D. 200. Núm. 373. Don J. D. V. 40. Núm. 374. D. M. G. 104. Núm. 375. El Excmo Sr. emba jador de Portugal 2©. Núm. 376. D' N. 320. Núm. 377. Doña M. C. M. 200. Núm. 378. D. N. 100. Num. 379* IL A.. U. 66 rs. y 18 mrs. Aíume— ro 380. D. N. 60. Núm. 381. Doña Y. R. 22 rs. y 4 mrs. Núm. 382. El Excmo. Sr. duque de M…</t>
  </si>
  <si>
    <t>G, Martin de</t>
  </si>
  <si>
    <t>Martin de G</t>
  </si>
  <si>
    <t>…Murcia, para que pueda usar de la cruz de la Espuela de oro cea que ha sido agraciado por S. S. Por providencia de i.° del presente mes de Abril del señor alcalde de Casa y Corte D. Martin de G aztañaga, refrendada del escribano de provincia y comisiones de la misma D. Manuel Lppez de Rivas, y á instancia de la dueña-de da-casa sita en la plazuela del Angel de esta corte, señalada con el núm. 25, manz. 234, que perteneció al concurso de 13. Pedro;Jó…</t>
  </si>
  <si>
    <t>G-uerrero, Antonio</t>
  </si>
  <si>
    <t>Antonio G-uerrero</t>
  </si>
  <si>
    <t>…guez, calle de las Carretas, y en Cádiz en la de Hortal y com pañía. Retrato á caballo del general en gefe D. Pablo MoriHó, conde de Cartagena y marques de la Puerta, dibujado por D. Antonio G-uerrero,y grabado en,medio plie go marquida por D. Manuel Albuernc, á 4 rs. en negro y a 8 iluminado. Se hallara en el almacén de estampas de la calle Mayor, frcntcLá la casa del Excmo. Sr. conde de Oñate. EN LA IMPRENTA REAL.</t>
  </si>
  <si>
    <t>G., J.</t>
  </si>
  <si>
    <t>J. G.</t>
  </si>
  <si>
    <t>…D. Francisco Mu ñoz, cura de Sta. Cruz de Madrid, por limosnas recibidas de sus feligreses, 200. Núm. 146. D. E. M. 100. NútTK.147. D. L. T. 60. Núm. 148. D. B. C. 120. Núm. 149. Doña J. G. y D. T. A. 40. Num.-150. D. J. L. y Doña María C. L. 400. Núm. 151. D. A. C. 220. Núm. 152. D. Faustino Sánchez Sevillano 200. Núm. 153. D. N. 160. Núm. 154. D. F. F. C. 320 rs. y 24 mrs Núm. 155. El Excmo. Sr. Nuncio de S. S. 1®. Núm. 156. D. J. Y. A. 320. Núm* 157. D.…</t>
  </si>
  <si>
    <t>Ga</t>
  </si>
  <si>
    <t>…á un tornero, y después parece vivió en la calle de Leganitos, núm. 2 , junto á la casa del Excmo. Se ñor duque del Parque. La persona que pueda dar noticla se servirá avisarlo á D. Ga briel Salinero, que vive calle del Burro, numero 7, cuarto a.° Fermín Montealegrc, natural de Herencia, se ausentó de esta corte en la retirada de los ingleses; y no habiendo tenido noticia de su persona, se suplica á quien sepa de él se sirva comunicarla á s…</t>
  </si>
  <si>
    <t>Gaetner, Federico Chrétien de</t>
  </si>
  <si>
    <t>Federico Chrétien de Gaetner</t>
  </si>
  <si>
    <t>…n los estados hereditarios de Alemania, ya en los ae Italia, ha resuelto S. M. agregar á la primera magistratura de Viena un tercer vice-presidente, nom brando para este empleo al barón Federico Chrétien de Gaetner, vice-présidente del tribunal de Apelación del Austria inferior. PRUSIA. Berlín i.° de Enero. La gaceta ministerial de esta capital contiene el artículo siguiente: Carece de todo fundamento la^noticia que han esparcido algunos pe rió-</t>
  </si>
  <si>
    <t>Gal, Juan Eranciscóde</t>
  </si>
  <si>
    <t>Juan Eranciscóde Gal</t>
  </si>
  <si>
    <t>…embre. El día 7 de este tnes se celebraron en el salón consistorialcon. psesencip de las autoridades y de un numeroso concurso,- exámenes públicos por el pro fesor de sGrdor.mudos D. Juan Eranciscóde Gal i, dedos sordo-mudos de na cimiento,, una niña; y un ni&amp;o¡, la nipa de. diez años dé edad con-año y mejdio de instrucción, .llamada Doña Manuela de Ventad es, hija única de Don .Pedro de Ventades, abogado, natural de la villa de Munguía en el mism;o señorío d…</t>
  </si>
  <si>
    <t>Galan, Josef Alegre</t>
  </si>
  <si>
    <t>Josef Alegre Galan</t>
  </si>
  <si>
    <t>…oséf M enchero calle de la ( aíyá baje, rium. 25; el de Sacedon D. Marcelino Sauz en la misma villa; él de Alcantud D. Atanasio Herrainz en el pueblo de Cá^ ñaveras ;.el,de Alánge D. Josef Alegre Galan en 'Almendralejo; el de Ledesrna D.'Pablo Montesino en Valencia de Alcántara. 3.0 Que los enfermos que quieran consultar á los expresados,médicos directores antes de salir de sus casas deberán hacerlo franqueando líi;$‘cartas,"conforme á lo prevenido por S. M…</t>
  </si>
  <si>
    <t>Galceran, Fermín</t>
  </si>
  <si>
    <t>Fermín Galceran</t>
  </si>
  <si>
    <t>…tínez, D. Manuel Barbet, D. Mañuél Díaz,'O. Ramón Pepn , D. Josef Rodríguez Romero y EX Fermín Pedregal. En geometría prác tica el referido Barbet, D. Joaquín y D. Luis Ciavareza, D. Fermín Galceran, D. Florencio Pereira/D. Manuel Rodrigpez Almeida, D. Vicente Rey, Don Ramón Casal y D. Manuel María Riberos. En trigonometría plana dichos Díaz, Casal, Rodríguez Almeida, Barbet y D. Luis Ciavareza. En trigono metría esférica los mismos Ciavareza, Casal y Ro…</t>
  </si>
  <si>
    <t>Galiano, Antonio</t>
  </si>
  <si>
    <t>Antonio Galiano</t>
  </si>
  <si>
    <t>…aceptar la dedicatoria de' una lámina del citado cuadro, cono* cido por el título del Hambre de Madrid, la cual debe ejecutarse á suscrip ción con el mayor lujo y esmero dabie por D. Antonio Galiano, célebre di bujante, acompañada al pie de una breve noticia del argumento. El Rey en consecuencia, accediendo gustoso al loable pensamiento y sú plica de Aparicio, ha venido en declararse á sí propio y á S.'M- la Reina nuestra Señora y Sres. Infantes por los…</t>
  </si>
  <si>
    <t>Galinsoga, Francisco Martínez de</t>
  </si>
  <si>
    <t>Francisco Martínez de Galinsoga</t>
  </si>
  <si>
    <t>…por el Real y supremo Consejo de Castilla, de cuya orden se anuncia en este perió dico para noticia de los interesados, y que acudan á solicitar su entrega, si Ies conviniese, al Sr. D. Francisco Martínez de Galinsoga, alcalde de la Real Casa y Corte, -comisionado al efecto por el mismo supremo tribunal. Núm. i.° Un testimonio de venta y nueva imposición de censo al redimir y quitar , que otorgaron el Lie. D. Josef Xavier Rosado, cora propio de la iglesia parroquial de Sta…</t>
  </si>
  <si>
    <t>Gálinsoga.i, Eh Ramon.de</t>
  </si>
  <si>
    <t>Eh Ramon.de Gálinsoga.i</t>
  </si>
  <si>
    <t>…eslas^correríasque hacen todas las secciones , tanto, la del indicado gefe D. Pedro Ruíz de Otaño , comb la del triando deb coren el; I&gt;. Anastasio Bustamante, y la del'teñí en te coronel Eh Ramon.de Gálinsoga.i ,,Dios guarde á V. É. muchos años. Gelaya Enerb 19 de 1819 = Ex celentísimo Sr. := Antonio de Linares. = Excmo.Sr. virey conde del Venadito.” . Parte del teniente coronel J).,Pedro JRuizdkOtaño. 1 . - í '* ¡ • . " j i '; i C1 , í • ^, • &lt; ,, Acabo de llegar A…</t>
  </si>
  <si>
    <t>Galitzin</t>
  </si>
  <si>
    <t>…ros orientales, con lo cual se completará nuestro sistema de instrucción pública. La enseñanza de las lenguas orientales en Rusia dis tinguirá siempre el ministerio del Excmo. Sr. príncipe Galitzin , destinado^ ya bajo otros respectos á formar época en los anales de la instrucción publica. For disposición de este ilustre protector de las letras se ha comprado á Mr. Rosseau, cónsul del Rey de Francia en Bagdad, una magnífica colección de manuscritos árab…</t>
  </si>
  <si>
    <t>Galitzín</t>
  </si>
  <si>
    <t>…íon leyéndose el regla mento á las-personas. dé «uno y otro sexo que habían manifestado sus (Useos de dedicarse, á aliviar la.suerte de los desgraciados presos. En seguida S E. el príncipe Galitzín, presidente, leyó .una memoria, en la que expuso las razo nes que primitivamente dieron origen al establecimiento de semejantes so ciedades, y manifestó el bien que habían causada, y los progresos admira bles que habían hecho en los Estados-Unidos de América…</t>
  </si>
  <si>
    <t>Galitzin, Alejandro</t>
  </si>
  <si>
    <t>Alejandro Galitzin</t>
  </si>
  <si>
    <t>…parte ha recibido la universidad 39 volúmenes de la sociedad: de&gt; los misioneros &amp; -Serampora , impresos por la mism?. RUSIA. Vetersburgo 10 de Marzo. , ^ En vista del informe del príncipe Alejandro Galitzin , ministro deí Culto^ y de la Instrucción pública, ha sancionado «el Emperador la fundación de una universidad en esta capital. ; PRUSIA. Berlín &lt;13 de Abarro. Se ha declarado al banco establecimiento independiente del Estado cpre&gt;o lo fue en tiempo de su fun…</t>
  </si>
  <si>
    <t>Gálixto'Gár</t>
  </si>
  <si>
    <t>…con los beneméritos militares. • ■ \&gt; : »Por Real» resaluden dé- 22 de Abril último^^ái eonsulta’ del Consejo supíe-1 Uto dé ]a Guerra, se ha servido S: M. conceder al Jioencifido D. Gálixto'Gár^ cía, inspector, de cuentas pertenecientes al; ramo de'farmacia en la comisioné de liquidación del reino de Galicia, el fuero militar y uso de unifórme derpri-í mer ayudante de farmacia de egército, que lé corresponde con-arreglo al artí culo 2.° de la Real o…</t>
  </si>
  <si>
    <t>Gallardo, Vicente</t>
  </si>
  <si>
    <t>Vicente Gallardo</t>
  </si>
  <si>
    <t>…l, comandante del primero del Rey, D. Nicolás López, que Fue fuertemente contuso ; al gefe del estado mayor teniente coronel D. Sebastian Díaz; los capitanes del ba tallón del Rey D. Vicente Gallardo y D. Joaquín dél Campo , de las com pañías de granaderos y cazadores; ai teniente de esta graduado de capitán Don Manuel M'elián; ál cápítan de la sexta del segundo de Numancia D. Martin Echagarai; al teniente de cazadores del mismo batallón D. Manuel Mayoral, y subtenien…</t>
  </si>
  <si>
    <t>Gallego, Esteban Rodríguez</t>
  </si>
  <si>
    <t>Esteban Rodríguez Gallego</t>
  </si>
  <si>
    <t>…ia y rebeldía, habida por presente, se ▼erá y determinará el negocio conforme á derecho, y la parará -el mismo perjuicio qüe si estando presente fuese -visto y determinado. Por el Sr. D. Esteban Rodríguez Gallego, del Consejo de S. M. &gt; y corregi dor de la ciudad de Avila, se ha señalado el dia 29 del corriente, y hora de las 14 de su mañana, para el remate de 167 obradas y 261 estadales de tierra labran tía. de diferei£t£s calidades en término del lugar de Sigeres de…</t>
  </si>
  <si>
    <t>Gallego, Juan Nicasio</t>
  </si>
  <si>
    <t>Juan Nicasio Gallego</t>
  </si>
  <si>
    <t>…&amp;c. Se hallará en pasta á 16 rs. en la librería fije Castillo, frente á $. Felipe el RealElegía á la muerte de la Reina nuestra Señora Doña María Isabel Francisca de Braganza, por D. Juan Nicasio Gallego, autor de Ja Elegía al Dos de Mayo. Se vende en la librería de Castillo, freiite á las gradas de S. Felipe ; én Sevilla en la de Caro, yren C^diz en la de Pajares, á 2 rs, ¿-j . -* EN LA IMPRENTA REAL. ’</t>
  </si>
  <si>
    <t>…y sostenida por la competente demostración. Se hallará en el despacho de La imprenta Real á 24 as. en rustica y 30 en pasta. . ' f . El dia Dos de Mayo»cuarta edición, elegía por D. Juan Nicasio Gallego, autor dp la elegía á ía muerde dé. lá Reina nuestra Señora-Do^a María Isabel Francis7 ca de Braganza. Se hallará en la librería de Castillo {frente á las gradas de San Felipe el Real, á a"rs. cada una. . . , . EN LA IMPRENTA REAL.</t>
  </si>
  <si>
    <t>…otra magnitud se vende también, y con*mas equidad, en Barcelona y Valencia. Oscar, hijo jde Oslan, tragedia francesa puesta en verso castellano, y acomoda da á nuestro teatro por D. Juan Nicasio Gallego, representada en los teatros de esta corte. Se hallará en la librería de la viuda d« Quiroga, calle de las Carretas. EN LA IMPRENTA REAL;</t>
  </si>
  <si>
    <t>Gallo, Juan</t>
  </si>
  <si>
    <t>Juan Gallo</t>
  </si>
  <si>
    <t>D. Juan Talero, exento de la Real guardia de la Persona de S. M., y Don Juan Gallo, cadete del mismo Real cuerpo, comisionados por el ayuntamien to de la villa de Arjona, reino de Jaén, tuvieron el 26 del pasado ia honra de cumplimentar á S. M. y besar su Real mano por el feliz enlace con la Reina nuestra Señora Doña María Josefa Amalia de…</t>
  </si>
  <si>
    <t>Galvez, Josef</t>
  </si>
  <si>
    <t>Josef Galvez</t>
  </si>
  <si>
    <t>…El R. P. abad y cura de S. Martin de Madrid, por limos nas 'recibidas de los feligreses de dicha parroquia, 1882. Núm. 120. D. Lo renzo Ximenez 60. Núm. 127. Doña N. 4. Núm. 128. D. Josef Galvez 12. Núm. 129. D. A. M. H. 100. Núm. 130. D. N. 20. Núm. 131. El señor cura de S. Justo y S. Miguel de Madrid,, por limosnas recibidas de sus feligreses, 1670. Núm. 132. Un farmacéutico 300. Núm. t33. D. R. S. 440. Núme ro 134. D. N. 40. Núm. 135. Doña R. B. 2…</t>
  </si>
  <si>
    <t>Gamarra</t>
  </si>
  <si>
    <t>despavoridos coii destino al füétte deItaii. Creyeron sin duda ¡kqte'JüL. «* PSi'l*?"**1!2!!!35 que con fazon contemplaban mis rifiqué por ignorar íuacion dél coronel Gamarra, destinado por mí desde esta plaza á operar cen tra Rojas , según dixe á V. S. en mi oficia de 8 del pasado, y de Cuyos re sultados ya le considero informado por el parte del mismo: por ésto irte vi precisados pasar el dia i i en la Misión. El 22 dividí mi fu…</t>
  </si>
  <si>
    <t>Gamboa, Manuel Eejnandez</t>
  </si>
  <si>
    <t>Manuel Eejnandez Gamboa</t>
  </si>
  <si>
    <t>…sita en esta córte,, y su calle del Relox á la de Torija, mím. 12, man zana 55^, perteneciente a la testamentaría de Juan Juárez, radicada en el juzgado del señor alcalde de Corte D. Manuel Eejnandez Gamboa, y escribanía de D. Vaidomero Moraíeda; previniéndose está hecha postura en la cantidad de 28,730 rs. vn. metálicos con varias condiciones. ' Habiendo fallecido en la ciudad de Orduña sin sucesión Doña María Francisca Velez de Calera y Guindo, viuda de D. San…</t>
  </si>
  <si>
    <t>Gamboa, Manuel Fernandez</t>
  </si>
  <si>
    <t>Manuel Fernandez Gamboa</t>
  </si>
  <si>
    <t>…se la carga Real de aposento, farol y sereno: qiéén qimiéfe hacer postura acu da ante dicho señor y pitada escribanía, que se le admitirá la que hiciere siendo ar reglada. Ante el Sr. D. Manuel Fernandez Gamboa, del Consejo de S. M., alcalde en snReal Casa y Corte, y por la escribanía de provincia de D. Yaldomcro MoraWda^</t>
  </si>
  <si>
    <t>…dicho término sin haberlo egecutado se procederá en los autos formados con dicho motivo conforme á derecho, y les parará el perjuicio que,haya lugar. En virtud de providencia del Sr. D. Manuel Fernandez Gamboa, del Consejo de S. M., alcalde de su Real .Casa y Corte^,, refrendada del escribano de provincia D. Vaklomeio Moraleda, se cita , llama y emplaza por segunda vez á todas y cua. lesquier personas que sé crean,con derecho á los bienes quedados por el fallecimie…</t>
  </si>
  <si>
    <t>…cita, llama y emplaza para la junta que está acordada y ha de celebrarse el 28 de Agosto próximo, á las 9 de su mañana, en la posada del ex presado señor juez. Por providencia del Sr. D. Manuel Fernandez Gamboa , del Consejo de S. M., alcalde de sü Real Casa y Corte, refrendada del escribano de provincia D. Valdomero Moraleda, y á instancia del P. Procurador del convento de religiosas de Santa Catalina de Senada esta villa, y para pago de réditos de un censo que tie…</t>
  </si>
  <si>
    <t>1029</t>
  </si>
  <si>
    <t>…y p del mismo, de una casa sita en la calle del Relox á la de Toríja, nu mero 12 , manz. 554 , perteneciente á la testamentaría de D. Juan Juárez, radicada *n el juzgado del señor alcalde D. Manuel Fernandez Gamboa, y escribanía de pro-</t>
  </si>
  <si>
    <t>Gandido</t>
  </si>
  <si>
    <t>…su favor el accessit con la;adjudicación del premio, bajo cuyo concepto pasaron á abrir el pliego ¡que contenia la contraseña, y halla ron que el autor de la memoria premiada era D. Gandido :Beltran de Calcedo. Con este motivo el colegio paso á celebrar una junta general , á la que se dio principio con un elocuente discurso, qué pronuncio el protector y presi dente D. Joaquín de la Croix y Vidal, en que manifestó la importancia de la educación y…</t>
  </si>
  <si>
    <t>Gáray, Josef</t>
  </si>
  <si>
    <t>Josef Gáray</t>
  </si>
  <si>
    <t>…lo mandado por $1 señor subdelégadó general de bienes Mos- ’ trericoá, vacantes y abintéstafos en ¿uto; de r.° dél corriente ; se cita, llama y em plaza a D. Juan Saenz de Tejada, D. Josef Gáray y á’EK lFráncisc6 Antonio Ber- . mudez, á quien se hallan endosados, últimamente tres vales Reales de 600 pesos,1 creación de i.° de Enero dé 1808, señalados con los números 376,846, 375,382 y 376,770: á D. Joaquín Guerra, á los señores viuda de Nolivos, Camp…</t>
  </si>
  <si>
    <t>Garci, Josef</t>
  </si>
  <si>
    <t>Josef Garci</t>
  </si>
  <si>
    <t>…ablecido, aban¿ donando el confuso y complicadísimo, reducido únicamente áTun-fajfrago de ' innumerables reglas tan impertinentes como dañosas. ■;V1 Concluidos los .egercicios, el Sr. D. Josef Garci, cónsul mas antiguó, en nombre del tribunal del Real consulado manifestó la satisfacción que dicho tribunal había tenido al ver los progresos de los alumnos, elogiando juntamenté el celo con que su catedrático había simplificado los preceptos de la lengua lat…</t>
  </si>
  <si>
    <t>García, Andrés</t>
  </si>
  <si>
    <t>Andrés García</t>
  </si>
  <si>
    <t>…s de Galicia por cuanto deben contribuir á la prosperidad de aquello^ pueblos; y en su consecuencia se dignó, por Real orden de 18 de Setiembre de 1817, poner al cuidado del limo. Sr. D. Andrés García, arcediano de Vivero, la dirección de dichos caminos transversales, nombrándole proteCp.pr, Las esperanzas de S. M. no ¿e han frustrado, pues el zelp de este individuo por el Real servicio y del público han superado todos ios obstáculos;eu, poco», mas de un a…</t>
  </si>
  <si>
    <t>García, Calixto</t>
  </si>
  <si>
    <t>Calixto García</t>
  </si>
  <si>
    <t>…l, y D. Félix Casanova. Honores de cirujanos de Cámara. \ ' ‘ A D. Josef Gil Campos \ y D. Miguel Col!. ^ * V . í . JL ■ . ’ Idem de boticarios de Cámara. A T&gt;. Josef Mignard , jr D. Calixto García. ídem de cirujano de Familia. A D. Ptócido del Valle. . - ■ ; : , ■ .■ . ¡ U. i ■ , - - --i-' ■ V v.r-;. • ./ kota. Las gracias concedidas por. los, oíros ministerios se publicarán sbcesivamente en.este , periódico. 1 * - i r ¡ . ■ . i ' . ’ ‘ A EN LA IMPRENT…</t>
  </si>
  <si>
    <t>García, Dunaro</t>
  </si>
  <si>
    <t>Dunaro García</t>
  </si>
  <si>
    <t>…icios del comisario ordenador D. Félix Bourman , ministro contador de las cajas de Valladoüd de Mechoacan, se ha ser vido el Rey concederle los-honores de intendente de provincia. D. Dunaro García, profesor de mineralogía en el museo de ciencias, em pezará sus lecciones públicas de este ramo en el Real gabinete de historia na tural el día 3 de Diciembre á las once de la mañana, y las continuará todos los lunes, miércoles y viernes que no sean festivos.…</t>
  </si>
  <si>
    <t>García, Eugenio</t>
  </si>
  <si>
    <t>Eugenio García</t>
  </si>
  <si>
    <t>…jó .un rjnagnífico cq-notafio., que tenia.ó5 pies de altura, ricamente ador nado, y cubierto :de un gran numero de Juces. Ofreció el sacrosanto .sacrificio en él primer día el Dr, D. Eugenio García, canónigo dignidad de arcediano de Cartagena., é-hizpjél digno elogio de las virtudes de S. M. 'el Dr. D. Mariano García Zumora, igual dignidad de arcediano de Vi llena* En el segundo ofició el -Sr. D. Manuel Gómez de M,orales, que lo es también de Lorca \y e…</t>
  </si>
  <si>
    <t>García, Felipe Patdo y</t>
  </si>
  <si>
    <t>Felipe Patdo y García</t>
  </si>
  <si>
    <t>…erra; D. Josef María Cón¿ de Salazar, regidor de Córdoba; D. Joaquín Gregorio deGoycoa, vecino de S. Sebastian; D. Josef Campo y'Soler, cónsul general y comisario en SierraLeona ; D. Felipe Patdo y García , prebendado en Segovia ; D. Manuel Fidalgo, intendente de Zamora; el conde de Calatrava', gentilhombre de Cámara; Dbn Esteban Asta, gobernador de la sala del Crímen depáceres; D. Josef Anto nio Serrano y D. Vicente Esteve, alcaldes de la misma audiencia. Ord…</t>
  </si>
  <si>
    <t>García, Félix</t>
  </si>
  <si>
    <t>Félix García</t>
  </si>
  <si>
    <t>…o de. g.o. dias, comparezca ante el escribano del h¿mero'jD. "Pomas de oancha y .Prado" ,a decir y exponer lo qué &amp;' su'.derecho convénga éii el juicio promo vido á instancia' IJe D. Félix García / yeCino y dél comercio de Cádiz j sobre pérténe.ncta de siete vales; Reales l©s¡ qué dbs serrdéj^a. de','¿fe;dé pesos con los n^mérós' 18 88 8?| ^| 3 2,61 f tres déÚo pesos nú me ros 348'p 5,1 y Szá&amp;SrjLj dos déÓQQ pesos aumérós. i '*$t£í?i¿$ÍÍÍ9i guales'fe…</t>
  </si>
  <si>
    <t>García, Francisco Rodríguez</t>
  </si>
  <si>
    <t>Francisco Rodríguez García</t>
  </si>
  <si>
    <t>…deb corriente presentó pofr cuarta vez sus discípulos á exameñjjúblico en los diferentes ¡ramos de humanidades, que se enseñan «en estas Jetases* el catedrático de ellas por S. M. D. Francisco Rodríguez García. TroftúneíÓ con despejo y desembarazo el pensionista ©. Josef Teran Ruiz tm diácbrso castellano j que . fuemuy aplaudido'; sobre el influjo de las humanidadeséntcP das las ciencias: continuó el examen en doctrina ^ristiaha', historia dev la ’re^ ligion y de E…</t>
  </si>
  <si>
    <t>García, Josef</t>
  </si>
  <si>
    <t>Josef García</t>
  </si>
  <si>
    <t>…acientes' podrán salir de la aflicción en que se encuentran. Para adquirir noticia del paradero de unos títulos de propiedad se desea.saber el de los herederos ó testamentarios de D. Josef García, que antes de la revolución te nía tienda de joyería en la plazuela de Herradores , número 6, junto á un tornero, y después parece vivió en la calle de Leganitos, núm. 2 , junto á la casa del Excmo. Se ñor duque del Parque. La persona que pueda dar noticla se…</t>
  </si>
  <si>
    <t>…ar su Real mano. No satisfecho todavía S. M. de esta singular demostración de aprecioseñalando siempre sus acciones con la generosidad y piedad que acostumbra, se dignó conceder á D. Josef García , sargento graduado del segundo regimiento de Reales Guardias, y condecorado con la cruz de plata (por lo que tuvo la honra de comer con.S. M. ) , d .grado de subteniente de infantería. 1 El siguiente dia 26 á la diez de la mañana se reunió también el capítul…</t>
  </si>
  <si>
    <t>820 *:•: Fuero» agraciados. IX' juan.-Fayola ,. XX Frañciseci Xavier •'Moraferj Don - Francisco Teran Ruiz y D. Agustín Fernandez «con las obras de Mogo; BFaír: -D. Josef García. Vidal EX Josef GomezHormigo y D. Juan Boíaños Lancha, con las reflexiones de Muratori sobre el buen:gasto,s.D¿ Juan de Qoíntanilla, D. Roque Alcon, D. Pedro Romero Balmasecta y D. Florencio Sánchez Pa vón, con las lecciones instructivas delirarte: EX Gaspar…</t>
  </si>
  <si>
    <t>García, Josef Antonio</t>
  </si>
  <si>
    <t>Josef Antonio García</t>
  </si>
  <si>
    <t>…nes D. Juan Josef Hidal go, herido con dos balazos; D. Antonio Vázquez, que salió contuso; D. Be* nito Boves y D. Francisco Sainz; los tenientes D. Hilario Noguera; D. Juan Bolet, D. Josef Antonio García y D. Benito Ostos; los subtenientes D. Fran cisco Bolet y D. Manuel Rodríguez; los sargentos primeros Agustín Luqué y Pascual Soto, y los segundos Pedro Heredia y Paz Perez, distinguiéndose es tos individuos én todos los actos en que eran mondados, animando con su egemplo á la…</t>
  </si>
  <si>
    <t>García, Juan</t>
  </si>
  <si>
    <t>Juan García</t>
  </si>
  <si>
    <t>…las erupciones de la piel. En uso de esta Real gracia se hallan de ventanal precio de 6o rs. cada paquete (que.contie ne las necesarias para la curación dé un enfermo) en casa de D. Juan García; doctor en farmacia , y boticario honorario de Cámara de S/ M., que vive en la calle de Fuencarral, en la botica de los Agonizantes; advirtiendo al público qué las excelencias de este remedio se han hecho constar por documentos irrefraga bles, cuyos maravillo…</t>
  </si>
  <si>
    <t>García, Juan Justo</t>
  </si>
  <si>
    <t>Juan Justo García</t>
  </si>
  <si>
    <t>…. " 1 ’ Lós-suscriptores á la obra tituláda Nuevos elementos de geografía general astro nómica, Física y polítiéá para servir dé Báse a la educación de la juventud, suautor el Dr. D. Juan Justo García, se servirán acudir á^recoger el tomo 2.0 á la librería ^e Brun, frente á S. Felipe el Real. La principal parte de esta obra, que es la polí tica , comprende lq mas notable y esencial que se encuentra en las geografías mas re cientes y acreditadas acerca ¡de…</t>
  </si>
  <si>
    <t>García, Manuel</t>
  </si>
  <si>
    <t>Manuel García</t>
  </si>
  <si>
    <t>…merece lograr las gra cias que S. M. dispensa á las mugeres de los oficíales que- mueren en campa ña: asimismo - ha eontraido bastante mérito el sargento de realistas de Cuaut1la D. Manuel García , quien espontáneamente se ofreció á concurrir á eíta acción, y después de portarse con¡ honor en ella, condujo en su propio ca ballo á los heridos. ,,Dios guarde á vmd. muchos años- Zírandaro Octubre 31 de 1818. = Josef María Martínez. =Sr. teniénte corohei…</t>
  </si>
  <si>
    <t>García, Mariano Robledo</t>
  </si>
  <si>
    <t>Mariano Robledo García</t>
  </si>
  <si>
    <t>…ras de sus orillas, antes pantanosas y hoy enteramente desecadas. Reunidos el dia 28 de Enero del año próximo pasado eí alcalde mayor de esta villa , jüez protector de los' baños, D. Mariano Robledo García,, élCüra; el administra*dor interino, vatios dépéndiéntes y otras personas qué concurrieron, se pu so la primera piedra de la manzana de casas, señalada hoy con ;el num. r, que fue por donde se dio principio á la nueva población denominada la Isa bela. Desde…</t>
  </si>
  <si>
    <t>García, Mateo</t>
  </si>
  <si>
    <t>Mateo García</t>
  </si>
  <si>
    <t>…5 del pasado, comparezcan ante dicho señor por la escribanía del numero de D. Bernardo Díaz de Antoñana, á usar del derecho que les asista en autos que en el año de 1794 principió D. Mateo García con 0. Rafael Bárceló y su fiador el 0. Miguel Sempere sobre pago de cierto crédito, los que en el dia continúa Manuel Artádi, como heredero fideicomisario de García, sobre adjudicación de un tejar de cocer ladrillo que correspondió á Sempere» sito extramuros…</t>
  </si>
  <si>
    <t>García, Mélbhora</t>
  </si>
  <si>
    <t>Mélbhora García</t>
  </si>
  <si>
    <t>…dé Villalba, escribano de S. M. 4 24. Cuatro escrituras y dos recibos pertenecientes á Francisco de la Pe-^ ña, soldado de la Guarda vieja, y mercader de ropería de nuevo, unido &amp; Doña Mélbhora García, que tupieron por su hijo legítimo á D. Francisco de Etna,^pjérigo dé menores órdenes, yednos1 de esta corté, á quienes perte*^ nécé un;eensp. sobjré ,üna,cásá síta/eii íá cálle de Tólédb. iSeWontinúátá.y “' ^ y'j ■■ - i |. V. v. y . . . ,.;r 7 ;i __Por decre…</t>
  </si>
  <si>
    <t>García, Miguel</t>
  </si>
  <si>
    <t>Miguel García</t>
  </si>
  <si>
    <t>…no é intendencia-de Popayán, á D. Miguel de Nájera Meneos; y para la subdelegacion de Tinta, en la provincia del Cuzco, á D. Vicente Berros Villarica. En atención á los méritos de D. Miguel García de la Vega, contador de resultas primero de segunda clase del tribunal de Cuentas de‘ Lima, se ha dig nado S. M. concederle los honores de contador mayor de él.</t>
  </si>
  <si>
    <t>…de derecha é izquierda, y que hicieron todas las presas. ,, Para proceder como vmd. me ordena contea el aprehendido Pedro Petez y los infidentes de la compañía de lanceros de este sargento Miguel García;, y los sol d ados Miguel Muñoz y Salvador García, espero ía contestación de vmd., pues todos están convictos y confesos, diciendo que solo ellos han deáinquido-de todaííu jcómpoñía. ,,De *los indias de Coyutia ya he descubierto algunos cómplices é infiden te…</t>
  </si>
  <si>
    <t>García, Miguel Granado</t>
  </si>
  <si>
    <t>Miguel Granado García</t>
  </si>
  <si>
    <t>…Ascáráte, con la gramática de la academia españolar D. Andrés .Cor'sitip de Salas,, con la ortografía de la misma: D. Tomas García, con la co lección de autores latinos de Lozano: D. Miguel Granado García, con la gra. marica latina de Aráujo : D. Rafael Granado Bellido , con la castellana del mismo, y 1). Nicolás Villar in, príncipe de la doctrina, con el catecismo completo de Fleuri, , ' Conma 3 de Agosto. Este Real consulado, en cumplimiento de lo prevenido…</t>
  </si>
  <si>
    <t>García, Miguel Josef</t>
  </si>
  <si>
    <t>Miguel Josef García</t>
  </si>
  <si>
    <t>…, para que en ei término de 30 dias comparezcan con los documentos fehacientes que acrediten dicho parentesco,ante el escribano de provincia, secretario de las referidas memorias, D. Miguel Josef García de la Madrid; con prevención que pasado el término sin nueva citación.ni emplaza miento se procederá á los nombramientos eti las personas que acrediten mejor dere cho, y parará á los demas el perjuicio qué haya lugar. Colección de medallas dé los hombres ilus…</t>
  </si>
  <si>
    <t>…todos los acreedores qwe puoda tener dicho scyñor^duque . ípara que por sí, ó por representantes con suficiente poder ^concurran ,á dicha^ junta por la escribanía de provincia de D. Miguel Josef García de la Madrid; bajo, apercibí^ miento que si n@ lo hicieren se celebrará en su ausencia ^ y les parará entero perjui-/ ció lo que acordaren los concurrentes. Por el juzgado del Sr. D. Manuel Josef de Arbizu » del Consejo de S. M., al caide de su Real Casa y Co…</t>
  </si>
  <si>
    <t>…bodegas, ca ballerizas, bueyeras, paneras, pajares, cocedor y demas necesario para la labor, ta sado todo en la cantidad de 319,615 rs. vn., acuda á la escribanía de provincia de D. Miguel Josef García de la Madrid, donde manifestarán las tasaciones, y darán las instrucciones necesarias. J Colección demuestras de letra bastarda, inglesa, italiana &amp;c. , escrita por Don Torcuato Torio de la Riva, conforme á su arte de escribir por reglas y con mues tras, mand…</t>
  </si>
  <si>
    <t>García, Ramón</t>
  </si>
  <si>
    <t>Ramón García</t>
  </si>
  <si>
    <t>…de,practicantes de cirugía de egército á D. Manuel Bergada, cirujano residente en la ciudad de Barcelona; »á D- Manuel Paul, ciru jano titular de la villa.de Peñaranda de Duero; á D. Ramón García, ciruja no titular- de: da villa de Robladura, en Castilla la Vieja; á D. Juan Luis,, cirujano titular de; la villa de Infiesto, provincia de Asturias, y á D. Anta-nía Elíafe Lozano /cirtijant&gt; de la villa'de los Santos de la Humosa. Por otra de igüal fecha s…</t>
  </si>
  <si>
    <t>García, Tomas</t>
  </si>
  <si>
    <t>Tomas García</t>
  </si>
  <si>
    <t>…ef de Quintanilla, con las de Triarte r D. Manuel de la Serna ;y Ascáráte, con la gramática de la academia españolar D. Andrés .Cor'sitip de Salas,, con la ortografía de la misma: D. Tomas García, con la co lección de autores latinos de Lozano: D. Miguel Granado García, con la gra. marica latina de Aráujo : D. Rafael Granado Bellido , con la castellana del mismo, y 1). Nicolás Villar in, príncipe de la doctrina, con el catecismo completo de Fleuri, ,…</t>
  </si>
  <si>
    <t>García, Tuís</t>
  </si>
  <si>
    <t>Tuís García</t>
  </si>
  <si>
    <t>…a casa situada en la ca lle de la Maderá alta, núm. 11 , de ia man?. 463 , á instancia de D. Blas Menen— dez , 'dueño actualmente de ella, y la cual perteneció antes á la viuda de D. Tuís García dé Lorgoria Doña Josefa Cordilla y Rodríguez: se ha tasado por el arqui tecto D. Júañ Bautista Cuervo en la cantidad de 17, *45 rs. , de cuya suma ha de rebajarse la carga Real de aposento, farol y sereno: qiéén qimiéfe hacer postura acu da ante dicho señor y…</t>
  </si>
  <si>
    <t>García, Vicente</t>
  </si>
  <si>
    <t>Vicente García</t>
  </si>
  <si>
    <t>…o los señores si guientes: ! ; Número i.° D. Torcuato Torio de la Riva, durante la epidemia, por 40 rs. al mes-Núm. 2.°. Doña Juana Perez, por idem, por 10 rs. semanales. Núm. 3.0 D. Vicente García, por un mes, con 20 rs. semanales. Núm. 4.® D. M. B., durante la epidemia, con 3 rs. cada dia. Núm. 5.0 D. Gregorio J011sansoro y Serralta y su hijo D. Julián, ayudas de Cámara de S. M., mien tras dure la epidemia, con 200 rs. mensuales. Ñiim. 6.° Juan Martin…</t>
  </si>
  <si>
    <t>García.Tue, Teodoro</t>
  </si>
  <si>
    <t>Teodoro García.Tue</t>
  </si>
  <si>
    <t>…y obtenido 1¿ nobleza personal.^ ■ - Capitanes de las guerrillas de Barinas. ‘ ©.'Francisco Xavier Palmero; Fue confirmado'cn su empleo con la nobleza personal y medalla de oro. : D. Teodoro García.Tue^confirmado en su empleo, y condecorado conla nobleza personal. . ; '' : J . Escuadrón de Tiznados. D. Francisco Polanco. Se le confirmó en el em pleo de capitán, y obtuvo la medalla de oro y la nobleza personal. Escuadrones del Rey. D. Raimundo Flores. Se le…</t>
  </si>
  <si>
    <t>Gardiasabai, Apolinar de</t>
  </si>
  <si>
    <t>Apolinar de Gardiasabai</t>
  </si>
  <si>
    <t>…ilino de Acha y D-Felipe de Equileor. Dignos deaccésit.: en h clase de la lengua francesa D. Juan de Garro, D. Vicente de Artiñano . y D. Francisco de Aldama: en la-de matemáticas D. Apolinar de Gardiasabai y D. Saturnino de Ochoa. . El numeroso concurso qué asistió á esta primer prueba que dieron de su aplicación y aprovechamiento los alumnos de dichas escuelas, admiró sus rápi dos progresos en el Corto tériríino de cinco meses que ha durado este primer Curso; y los habitantes de Bilb…</t>
  </si>
  <si>
    <t>Garios</t>
  </si>
  <si>
    <t>…depósito de los barcos, se está Construyendo una mole que remata en un obelisco, cu ya altura será de 6o pies: toda ella es.de piedra de tres clases, y contendrá los retratos del Sr. D. Garios iii, fundador del canal, y los del Rey nues tro Señor D. Fernando vii y Doña María Isabel de Braganza , su au gusta Esposa, de feliz memoria, y otros.diversos bajos relieves,de asuntos alusivos á la empresa. ; . f :I A la izquierda de la referida-pperta se es…</t>
  </si>
  <si>
    <t>Garios, Rey Dóh</t>
  </si>
  <si>
    <t>Rey Dóh Garios</t>
  </si>
  <si>
    <t>…el medio de la iglesia, cubiertos, el upo al lado derecho con un riquísimo paño de seda y oro, y el otro con uno de igual clase, y plata. En el primero fue colocado el féretro del Sr. Rey Dóh Garios iv, y en el segundo «1 de la Sra. Reina Doña María Luisa, y sobré uno y otro s^ pusieron los correspondientes almohadones con las coronas Rea les, Ambos, túmulos estaban rodeados de ricas alfombras? al frente, entreestoar y el altar mayor, ardían nueve hachas…</t>
  </si>
  <si>
    <t>Garlos</t>
  </si>
  <si>
    <t>…dición de la Historia general de España del P. Juan de Mariana, ilustrada con notas históricas y críticas, y tablas cronológicas desde lo» tiempos mas antiguos hasta ía muerte del Sr. D. Garlos 111, por el Dr. D. Josef Sabau y Blanco, canónigo de la santa iglesia metropolitana de Búrgos, é individuo de la Real academia de la Historia, acudirán á recoger el tomo 9.0 y pagar el io.°, que estará pronto, á Ja librería de Quirós, calle de Atocha, y en Sa…</t>
  </si>
  <si>
    <t>…bre, Habiendo llegado la Reina nuestra Señora al sitio llamado Rio de los Puen tes-, distante legua y media de este pueblo, adonde habían ido á esperarla los Sermos. Sre^/lnfantes D. Garlos y Doña María Francisca su Esposa, paso S. M. al coche de SS. A A., y continuando su viage llegaron felizmente á esta villa á las cuatro de la tarde, y por la noche á las ocho presenciaron ios fue gos artificiales, que eii su obsequio tenia preparado elay untamiento. • ^ /</t>
  </si>
  <si>
    <t>Gárlos</t>
  </si>
  <si>
    <t>…s por D. Juan Antonio Ribera, pensionado de la academia, que acaba de venir de Roma. En el gabinete de retratos se colocaron los tres bustos .en yeso de los Sermos. Sres. Infantes D. Gárlos, Doña María Francisca y D. Cárlos Luis, hechos con mucha propiedad y semejanza por D. Valeriano Salvatierra, es cultor honorario de Cámara de S. M;, y teniente director honorario de la aca demia. El patio de la casa estaba adornado grandiosamente con dos gran…</t>
  </si>
  <si>
    <t>Garlshausen</t>
  </si>
  <si>
    <t>…o se pon drán en secuestrólos bienes del Príncipe Pablo. . * . . . Se espera deptro de .pocos dias en la ciudad de! Fulda al.elector»de Hesse; donde piensa,pasar algún tiempo., El ministro Garlshausen ha llegado ya á Eulda. Carecen de todo, fundamento las noticias que jCirculaban estos.»dias .som bre la cesión,á ía Eayiera de toda esta^proyirvCia. : . I » í í * ; n ;í • .. ,• Idem 27. ; •. Eí Gobierno ha publicado.oficíalmente la correspondencia seguida en…</t>
  </si>
  <si>
    <t>Garma, Luis Xavier de</t>
  </si>
  <si>
    <t>Luis Xavier de Garma</t>
  </si>
  <si>
    <t>…catecismo, como en las labores, y la calificación que habían hecho para adjudicar á las mas po’bres y adelantadas las camisas que había dado el señor chantre de esta santa iglesia D. Luis Xavier de Garma: la censura comprendía un elogio de la es cuela y del esmero de sué maestras.</t>
  </si>
  <si>
    <t>Garpía, Blas</t>
  </si>
  <si>
    <t>Blas Garpía</t>
  </si>
  <si>
    <t>…t&gt; de la villa'de los Santos de la Humosa. Por otra de igüal fecha sé ha servido Si. M. conceder el fuero militar y eso de uniforme de practicantes dé farmacia de egército al Lie. D. Blas Garpía, residente 'en la ciudad d'e Astorga; á D. Segundo Montesino, residente eiifla vilÍ'a de Valencia' He Alcántara ,* iprdvíncia de jExtremádura, y. á ‘ D. Sandhlio de'Castro, farmacéutico én es‘ta Corte ;'declarando al mismo tiempo le ha^ si4q muy .grata á S,pM…</t>
  </si>
  <si>
    <t>Garrafa, Francisco</t>
  </si>
  <si>
    <t>Francisco Garrafa</t>
  </si>
  <si>
    <t>…os, discípulo de la academia, de quien eran igualmente otros dos cuadros originales; y habia&lt;también varias copias de algunas buenas obras de nuestros antiguos pintores'hechas por D. Francisco Garrafa. En dos salas que forman él entresuelo se colocaron las obras de menor tamaño, y entre ella? unos fruteros y floreros de D. Francisco Lacoma.y D. Miguel de Parra, cua tro cuadros que representaban varias aves y animales muertos y una pollera con unas gallinas…</t>
  </si>
  <si>
    <t>Garrido, Manuel Antonio Fernandez</t>
  </si>
  <si>
    <t>Manuel Antonio Fernandez Garrido</t>
  </si>
  <si>
    <t>…teniente D. Domingo Camacbo, por «í (mérito particular que ha contraído en esta ocasión. . El Rey nuestro Señor se ha servido nombrar en el territorio de las Orde nes militares á D. Manuel Antonio Fernandez Garrido para la vara de alcalde mayor de la villa de Socuéllamos, y á D. Diego Rodríguez Vizuete para la de Usagre , ambas de primera clase. ; El Rey nuestro Señor se ha servido conferir el gobierno militar y político del Puerto de Sta. María al mariscal de campo D.…</t>
  </si>
  <si>
    <t>Garro, Juan de</t>
  </si>
  <si>
    <t>Juan de Garro</t>
  </si>
  <si>
    <t>…se y ¿. Matías de,Lejarcegui: eríja de matemáticas D. Alejandro de Bengoechea D. Josef Aquilino de Acha y D-Felipe de Equileor. Dignos deaccésit.: en h clase de la lengua francesa D. Juan de Garro, D. Vicente de Artiñano . y D. Francisco de Aldama: en la-de matemáticas D. Apolinar de Gardiasabai y D. Saturnino de Ochoa. . El numeroso concurso qué asistió á esta primer prueba que dieron de su aplicación y aprovechamiento los alumnos de dichas escuelas,…</t>
  </si>
  <si>
    <t>Gas, Francisco</t>
  </si>
  <si>
    <t>Francisco Gas</t>
  </si>
  <si>
    <t>…andro Ramírez,” ; ' Contraía. A consecuencia de lo que el consulado contentó á V.. E. .en 14 de Enero inmediato sobre, la navegación del fiordé Motagua, han venido, á esta capital D. Francisco Gas tejón, D. Joaquín Ferro, D. Juan Rea y Don Francisco Campos, vecinos del pueblo de. Gualan, á tratar de los pormenores pon-cernientes al proyecto^en Su parte mercantil, y han quedado expresamente ajustados con. este cuerpo y por medio de una-compañía de dicho…</t>
  </si>
  <si>
    <t>Gasaña, Andrés</t>
  </si>
  <si>
    <t>Andrés Gasaña</t>
  </si>
  <si>
    <t>…tendente de Salamanca , 200. Núm. 290. D, Nicolás Gar~ cía 60. Núm. 291. Doña X. B. 100. Núm. 292. D. J. L. L íoo. Núme ro 293. D. Mateo Obregon, capellán de honor, 300. Núm. 294. D. Andrés Gasaña 100. Núm. 295. D. L, Y. 320. Núm. 296, Los señores cuestores deí bardo del cuartel de Afligidos 706. Núm. 297. D. F.G. 60. Núm. 298. Doña C. Ñ* 20. Núm. 299. Los señores cuestores del cuartel del Barquillo , por la demanda de la presente semana, 3017 rs. y 16…</t>
  </si>
  <si>
    <t>Gaspei, Antonio</t>
  </si>
  <si>
    <t>Antonio Gaspei</t>
  </si>
  <si>
    <t>ioi4? Beltranena; y para la plaza de oidor'de la Real andíéncíá de Lima ,queobtjiyó O..Pedro.«Mariano Goyténeché D. Antonio Gaspei)rrRodr!guez^ -, ------ .-...........‘-'■'■■i- •' • - yi ! Por el 'juzgado dé provincia del- Sr. D. Julián1 de Agudelo ’y Céspedes , al calde del Gruñen de la Real audiencia de Sevilla, y por la escribanía de D. An tonio Domínguez, penden autos sobre cumplimie…</t>
  </si>
  <si>
    <t>Gastambide, Diego</t>
  </si>
  <si>
    <t>Diego Gastambide</t>
  </si>
  <si>
    <t>…nominado señor alcalde , y escribanía de provine cia de D. Manuel López de Rivas, á deducir el derecho que crean asistirles á los referidos vales en la instancia que ha promovido D. Diego Gastambide, vecino y del comercio de la ciudad de Málaga, reclamando la pertenencia de los mismos; en Ja inteligencia de que sien dicho término no lo verifican , sin mas citación ni empla zamiento se proveerá*lo que corresponda,,y les parará el perjuicio que haya fugar.…</t>
  </si>
  <si>
    <t>Gastañaga, Martin de</t>
  </si>
  <si>
    <t>Martin de Gastañaga</t>
  </si>
  <si>
    <t>…al de 150 pesos.; é ignorán dose la existencia y paradero del primero, y la radicación de la precitada testamen taría del segundo, por providencia de 12 del mes próximo pasado del Sr. D. Martin de Gastañaga, del Consejo de S. M , su alcaide de Casa y Corte,,refrendada del es cribano de provincia y, comisiones de ía misma D. Manuel Lopeg .de UivasN,.kse iha acordado citar y .emplazar* como |et|ÚLce. por el presénte, á los-que se contemplen interesados en las enun…</t>
  </si>
  <si>
    <t>Gastlereagh</t>
  </si>
  <si>
    <t>…ecta ni indirectamente de semejante abolición. ALEMANIA. Francfort jo de Enero. Ayer llego á esta ciudad lord Stewart, embajador de Inglaterra en la cor te de Viena, y hermano del lord Gastlereagh, que se restituye á su patria. El ministro de Rusia en Gonstantinopla parece que ha estado perfec tamente conforme con la Puerta en el nombramiento, del .príncipe Suzzo para la dignidad de hospodar,y le ha cumplimentado según etiqueta por. medio de su dragomá…</t>
  </si>
  <si>
    <t>…la capital. Ha llegado aquí el conde, .de.C^po de Istria, y ayer le visitaron ios em bajadores de Francia, de Turquía, de Rusia , de Cárdena y de -'Persta, el conde de Liverpool , lord Gastlereagh y el conde de Eíatdevick. . ‘ r ' Anuncian las cartas de Genova del .7, que se había divulgado en Constantinopla la especie de haber apresado los piratas un buque con pabellón ruso, que salid de Genova el 7 de Junio para Odessa, y que después de asesinar ¿ to…</t>
  </si>
  <si>
    <t>…n todo el país novedades de mucha importancia. El embajador persa Mirza-Abül notificó días pasados al Gobierno ingles su determinación de restituirse á su patria; pero se dice que lord Gastlereagh lo ha persuadido á diferir eLviage hasta la primavera próxima , y se presu me que sea para entablar algunas relaciones con la Persia. Ha mandado la Regencia de Hannóver abrir un canal de comunicación entre el brazo principal del rio Elba y el Schwinge, de cuy…</t>
  </si>
  <si>
    <t>Gátlós</t>
  </si>
  <si>
    <t>…odo la memoria-de la Virtud ídé sesfagtias i"y habiéndola comprobado re petidas éxpérieñdias'j particiílarménte "por los años de 1802 y 1803, propuso el Consejo dé'Casttlla al Sr» D. Gátlós rv (que en paz descanse) algunas obras que - eran absolutamente necesarias'para da comodidad de los enfermos ; y S. M.: Ve§ólvi6 s#‘hi'déséii&gt;uri¥{hOSpedéríá y-algunos baños. Realizada esta su perior resolúcío n fue-áuuiéntñiífdose la concurrencia, y recobran…</t>
  </si>
  <si>
    <t>Gavina, Manuel</t>
  </si>
  <si>
    <t>Manuel Gavina</t>
  </si>
  <si>
    <t>…n arreglo al pliego de condiciónes formado por la contaduría de Data y Guerra de la tesorería general, y&gt;!¿0» presencia de las proposiciones :.qáe tiene hechas sobre el particular D. Manuel Gavina , vecino ;dé esta corte. / Se hace saber al público para que las personas que quieran interesarse en dicho sum-inistro, acudan al ministerio principaldé ReaL hacienda de esta plaza, calle de la Magdalena baja, núm. 3, cuarto principaban donde seles manifestar…</t>
  </si>
  <si>
    <t>Gavo, Juan</t>
  </si>
  <si>
    <t>Juan Gavo</t>
  </si>
  <si>
    <t>…secretario de la dirección del Crédito pú blico ; el marques del Real Socorro; D. Josef García Carrasco., vecino de Cáceres; el conde de Vallehermoso ,\aícalde del crimen en Lima; D. Juan Gavo, D. Salvador Heraña, D. León Hormaechea, D. Vicente Camacho y D. Ma,imel Alvarez García, oficiales,de la secretaría, de Estado y del Despacho de</t>
  </si>
  <si>
    <t>Gaya, Francisco Perez</t>
  </si>
  <si>
    <t>Francisco Perez Gaya</t>
  </si>
  <si>
    <t>…. D. N. 60. Núm. 381. Doña Y. R. 22 rs. y 4 mrs. Núm. 382. El Excmo. Sr. duque de Montemar 400. Núm. 383. D. J. G. D. 40. Núm. 384. D. L. A. 100. Asimismo se ha suscrito: Núm. 36. D. Francisco Perez Gaya , maestro de capilla de Avila, durante la epidemia, con 30 reales mensuales; y por el mismo tiempo cede su sobrina Segunda Hernández, niña de cinco años, los 20 reales mensuales cón que se la gratifica.su aplicación á la lectura y labores. Por el correo de 9…</t>
  </si>
  <si>
    <t>Gayan, Ramón</t>
  </si>
  <si>
    <t>Ramón Gayan</t>
  </si>
  <si>
    <t>…ra clase. ; El Rey nuestro Señor se ha servido conferir el gobierno militar y político del Puerto de Sta. María al mariscal de campo D. Miguel Tacón: el de la pla za de Cardona ai coronel D. Ramón Gayan, teniente de rey de la plaza de Zaragoza: el de la de Monzon al coronel D. Antonio Hernández del Pont, comandante de batallón del regimiento de infantería del Infante D. Carlos: el del castillo de Moqjuich , de la plaza de Gerona, al capitán D. Gabriel Sedó¿…</t>
  </si>
  <si>
    <t>Gazta'íiaga, Martin de</t>
  </si>
  <si>
    <t>Martin de Gazta'íiaga</t>
  </si>
  <si>
    <t>…delbabe, den tro del término de 20 dias, contados desde la publicación de este anuncio, que se admitirán siendo arregladas. A voluntad de su dueño, y en virtud de providencia del Sr. D. Martin de Gazta'íiaga, del Consejo dé S. M., su alcalde de Casa y Corté, refrendada del escribano de provincia y comisiones de la misma D. Manuel López de Rivas, se ha mandado sacar á pública subasta una casa sita en esta corte, y su calle de la Ruda, que hace es quina y da vuelta…</t>
  </si>
  <si>
    <t>Gaztaíjigga, Martin de</t>
  </si>
  <si>
    <t>Martin de Gaztaíjigga</t>
  </si>
  <si>
    <t>869</t>
  </si>
  <si>
    <t>…as dos de la tarde, las salas de su casa calle de Alcalá , con* el objeto de manifestar las galerías de pintura y esxultúra que existen tú élíá. j , , / En virtud deprovidenciádel Sr. D. Martin de Gaztaíjigga, del Consejo de S. M. ' su alcalde dé Casa, y, Corte* autorizada del escribano de provincia y comisiones de Jé misma,D. Manuel Lqpez .de}&gt; Ribas, á solicitud de los interesados, se venden á pública subasta 4 casas sitas cu esta corte. La primera en la calle d…</t>
  </si>
  <si>
    <t>Gaztañá, Mártin de</t>
  </si>
  <si>
    <t>Mártin de Gaztañá</t>
  </si>
  <si>
    <t>…provincia que despacha por habilitación D. Fraiiciscp Mórítoyái ppr donde se adnrtiríráu las posturas qué’^é hagan. ’ ' “P ' ''¿Por providencia de i8 del que rige, dictada por el Sr. D. Mártin de Gaztañá~ga, del Consejo dé S. Jd'. V su alcalde de Casa y Corte, refrendada del escribano de ‘provincia y comisiones de-la misma D. Manuel López de Rivas, se ha mandadodla¥nar, citar y émplázar por él perentorio último término de 10 dias, contados desde él eii'qu^ se…</t>
  </si>
  <si>
    <t>Gaztañaga, Martin de</t>
  </si>
  <si>
    <t>Martin de Gaztañaga</t>
  </si>
  <si>
    <t>…d* la imprenta Reai; En virtud de providencia de los Sres. del Consejo de 25 de Febrero próximo! 'mandada guardar y cumplir en el siguiente 26 por el señor alcalde de Casa y Corle D. Martin de Gaztañaga, por ante el escribano de provincia y comisiones dé la mis? •rita D. Mánuel Lopez dé Ribas, se ha mandado publicar por diez dias mas la subasta •de la casa propia de la testamentaría de D. Juan Bautista Lluc, sita en la calle Reai del Avapies, núm. 22, manzan…</t>
  </si>
  <si>
    <t>…uenos servicios. A pedimento de los herederos de D. Josef Lorenzo Ortiz, vecino y del comer cio que fue de esta corte, y en virtud de providencia del señor alcaide de Cara y Corte D. Martin de Gaztañaga, refrendada del escribano de provincia y comisiones de la misma D. Manuel López de Rivas, se ha mandado convocar á una junta ge neral de todos los acreedores é interesados á la testamentaría del precitado D. Jcsef Lorenzo Ortiz, y señalado para ella el día 15…</t>
  </si>
  <si>
    <t>…graciado por S. M. Cris tianísima , por su constante adhesión á la augusta casa dé los Borbones. -tonEn virtud de providencia de ig del corriente del señor alcalde de Casa y Corte D. Martin de Gaztañaga, refrendada del escribano de provincia y comisiones de la misma D. Manuel López de Rivas, en prosecución de las diligencias de subasta de to casa propia de la testamentaría dél Sr. D. Matías Robles» arcediano que fue dé Tole¿hvvde construcción moderna , sita,…</t>
  </si>
  <si>
    <t>…ueña de una casa, sita en la plazuela del Angel de esta cor te, que perteneció al cóhcurso de D. Pedro Josef de Adame, y en virtud de provi dencia de 21 de Mayo próximo pasado del Sr. D. Martin de Gaztañaga, dei Conse jo de S. M., su alcalde ^e Casa y Corte, refrendada del escribano de,provincia y co misiones de la misma D. Manuel López de Rivas, se cita, llama y emplaza por ter cero y último término de 30 dias, contados desde esta publicación, á todos los acree…</t>
  </si>
  <si>
    <t>…s Reales Consejos, en donde se manifestarán' Tas condiciones respectivas , pues su remate se ha de celebrar cji aquella oficina el dia l 4 del corrienteEnmrtud* de providencia del Sr. D. Martin de Gaztañaga, del Consejo de S. M., su alcalde de Casa ynCorte, se; cita,' llama y emplaza 4 lasque se contemplen inte resados en siete vales Reales d¿ 6ob; pesos, creación de Enero de11808 , números 365008 , 369957, 371758. 3747/0 . 375ltí2» 37528° Y 376744. los cuálessa…</t>
  </si>
  <si>
    <t>…obliga ción de cumplirlo si. pasase el término del d(a 15 de Junio sin manifestar stf voluntad de desistir de él, renunciando él derecho adquirido. ' En virtud de providencia del Sr. D. Martin de Gaztañaga, del Consejo de S. M., su alcalde de Casa y Corte, se cita 1 llama y emplaza á D. Modesto Antonio Rivi11o, D. Josef Perez Fernandez y Doña Agustina Ovando, á cuya instancia resulta^ hallarse reclamados respectivamente en la oficina de Renovación ocho vales Re…</t>
  </si>
  <si>
    <t>…&gt;á dinero metálico; y para su rematé se halla señalado el dia 15 del corriente, á las 12 en punto de su mañana, en la mis? ma escribanía de provincia. En virtud de providencia del Sr. D. Martin de Gaztañaga, del Consejo de S. M,# su alcalde de Casa y Corte, autorizada del escribano de provincia y comisiones dé la misma D. Manuel López de !JUvas, ásolicitud.de los Interesados, se ha mandado volverla publicar, por ocho dias mas cuatro casas_sitas en esta corte, la…</t>
  </si>
  <si>
    <t>…harán los pagos sin fianza de acreedor de mejor derecho , y se mandarán cancelar las que esten dadas, sin que les quede acción d reclama alguna. ' . • En virtud de providencia del Sr. D. Martin de Gaztañaga, del Consejo de S.M., su alcalde de Casa y Corte-, autorizada def escribano de provincia yj,coamis¡ones de la misma D. Manuel López de Rivas, se ha mandado sacar á pública subasta una casa -sita en la villa de Aravaca, junto al hospital de la misma, propia de…</t>
  </si>
  <si>
    <t>…ncia del Sr. D. Manuel Josef Rubio, del Consejo de S. M-, teniente corregidor de esta muy heroica villa, ante él escriba no de su niimero D. Juan Raya. En virtud de providencia de Sr. D. Martin de Gaztañaga, del Consejo da S. M.#&gt; su alcalde de Casa y Corte, autorizada del escribano de provincia y. comisiones de la misma D. Manuel López de Rivas, se ha mandado sacar á míé.va subasta, por no haberse podido verificar en el dia 23 de Setiembre próximo pasado que se…</t>
  </si>
  <si>
    <t>…ión de este anuncio, que se le admitirán siendo arregladas. A instancia de los herederos del difunto D. Juan Barrera , vecino que fue de esta corte, y en virtud de providencia del Sr. D. Martin de Gaztañaga, del Consejo de S. M., su alcalde de Casa y Corte, refrendada del escribano de provincia y co misiones dé la misma E). Manuel López de Rivas, se ha mandado celebrar junta de todos los que se contemplen acreedores, asi á la testamentaría del precitado D. Juan…</t>
  </si>
  <si>
    <t>…asimiro Antonio Gómez; y para su remate ¡se ha señalado el viernes 29 del corriente mes, á la hora del medio dia, en la audiencia de dicho señor juez. En virtud de providencia del Sr. D. Martin de Gaztañaga, del Consejo de S. M., su alcalde de Casa y Corte, se ha mandado citar y emplazar por segundo y último término de otros 30 dias, contados desde la publicación de este anuncio, á ios que se contemplen interesados en siete vales Reales de 600 pesos, creación de…</t>
  </si>
  <si>
    <t>Gaztanaga, Martin de</t>
  </si>
  <si>
    <t>Martin de Gaztanaga</t>
  </si>
  <si>
    <t>…4 del próximo mes de Diciembre en la aqdien^ cia de S. S., á las 12 en punto de su mañana. A voluntad de sus dueños, y en virtud de providencia del señor alcalde de Ca sa y Corte D. Martin de Gaztanaga, se ha mandado sacar á pública subasta una ca-, sa sita en el lugar de Carabanchel de arriba, en la plazuela detras de la iglesia, seña lada con el núm. 6, comprensiva de 7665 pies cuadrados superficiales, y se halla tasada en 40,832 rs. y 16 m'rs.; advirtien…</t>
  </si>
  <si>
    <t>Gáztañaga, Martin de</t>
  </si>
  <si>
    <t>Martin de Gáztañaga</t>
  </si>
  <si>
    <t>…sa sita en la villa de Aravaca, contigua al hospital de la misma, perte neciente ála testamentaría de D. Juan de Andrade , radicada én el juzgado del señor alcalde de Casa y Corte D. Martin de Gáztañaga y escribanía de provincia de Don Manuel López de Rivas, cuya casa se halla val'uada en u^.-rs.', y después de ha-4 berse rematado en 8391 se hizo mejora hasta en cantidad de 88oo rs. en efectivo me tálico, rebajadas todas cargas, y bajo dicho concepto está se…</t>
  </si>
  <si>
    <t>…de esta muy heroica villa, el día 12 de este mes, á las 9 de su mañana, en su ha bitación lo que se hace saber á los interesados para su inteligencia. En virtud de providencia del Sr. D. Martin de Gaztañaga, del Consejo de S» 1VL, 311 alcalde de Casa y Corte, se ha mandado citar y emplazar por el preciso y perento rio término de un mes , contado desde esta publicación en la gaceta mini-,tei ial, á ios tenedores del vale Real de 300 pesos, creación de Enero de 18…</t>
  </si>
  <si>
    <t>…rs. vn. en efectivo metálico, rebajando de ellos todos los capitales de censos y cargas que sobre sí tengan. El que quiéra hacer mejora acuda ante el señor alcalde de Casa y Corte D. Martin de Gaztañaga y escribanía de provincia de D. Manuel Eopéz de Rivas ; en el supuesto de que está señalado para su remate el lunes 21 del corriente, á las i 2 de su mañana; en la audiencia dél mismo señor alcalde y citada escribanía de provincia. . , /En virtud de providenc…</t>
  </si>
  <si>
    <t>Gáztañaga, Martin'de</t>
  </si>
  <si>
    <t>Martin'de Gáztañaga</t>
  </si>
  <si>
    <t>…de los comisionados en la liquidación de créditos de la testamentaría de D. Francisco de Jas Barreras, vecino y del comercio que fue en esta corte, y en virtud de providencia del Sr. D. Martin'de Gáztañaga, del Consejo de S. M,, su al calde de Casa y Corte, autorizada del escribano de provincia y comisiones de la mis ma D. Manuel López deRivas, sé ha acordado convocar á junta general de los acree«dggp. é interesados' en lamisma testamentaría, señalando para ell…</t>
  </si>
  <si>
    <t>Geíabert, Antonio</t>
  </si>
  <si>
    <t>Antonio Geíabert</t>
  </si>
  <si>
    <t>…agunaySantana,: escribano del número de ella. .O . , j ' &lt; i lo'. Testimonio de la hijuela de los bienes adjudicados á D. Eduardo Gelabert de los bienes quedados por la muerte de- D. Antonio Geíabert, su fe cha 17 de Setiembre de 17H3, ante el escribano del número E&gt;. Juan Vü&amp; ■ 4y Glier. \ j _ - ( ; n. Papeles y documentos originales de los bienes de/Doñá Isabel dé Vélazquez de Hermosiíla, fundadora de la capellanía eh Madrigal , por^ testimo nio de Geró…</t>
  </si>
  <si>
    <t>Gelabert, Eduardo</t>
  </si>
  <si>
    <t>Eduardo Gelabert</t>
  </si>
  <si>
    <t>…guo del Sto. tribunal de la expresada ciudad ¿'ante AlonsodéXagunaySantana,: escribano del número de ella. .O . , j ' &lt; i lo'. Testimonio de la hijuela de los bienes adjudicados á D. Eduardo Gelabert de los bienes quedados por la muerte de- D. Antonio Geíabert, su fe cha 17 de Setiembre de 17H3, ante el escribano del número E&gt;. Juan Vü&amp; ■ 4y Glier. \ j _ - ( ; n. Papeles y documentos originales de los bienes de/Doñá Isabel dé Vélazquez de Hermosiíla, fund…</t>
  </si>
  <si>
    <t>Gelati, Antonio</t>
  </si>
  <si>
    <t>Antonio Gelati</t>
  </si>
  <si>
    <t>…L&gt;. Juan Domínguez, que ha mandado la infantería, los tenientes de Nueva-España D. Josef García Jove, y de dragones de. Mon eada D. Antonio Badilio, y los alféreces de este cuerpo D. Antonio Gelati, que me ha servido de ayudante,, y el de. mi cuerpo D. Manuel Arana,, todos .los que se han distinguido. _ . ,, Dios guarde á V- S. muchos años. Val lado lid Junio 22 de 1818.== Vi cente Lara^ Sr. coronel y comandante general D. Matías Martin y Aguirre.’51 ,…</t>
  </si>
  <si>
    <t>Gélpi, Juan</t>
  </si>
  <si>
    <t>Juan Gélpi</t>
  </si>
  <si>
    <t>go particular recomendación delsubtenTénte'de milicias y espitan del falu cho Hércules D. Juan Gélpi, que con su buque apresó una de las flecheras. La demás marinería y tropa han llenado su deber en favor de las armas del Rey. Incluyo á V. S. el adjunto estado de los buques apresados, y por él Se enterará de los pertrechos de guerra, municiones y otros útile…</t>
  </si>
  <si>
    <t>Gena</t>
  </si>
  <si>
    <t>…Junio de 181j.y por haber servido* en esta clase en las bóticasidrrnitareí?de ,ca'mpapa duránte la última guerra. Por otra dé 4' de Máyó anterior rse- ha servido S. M. conceder á D. Gena ro González, residente en la villa deLequeitio, señorío de Vizcaya, el fuero» militar y uso de uniforme de practicante de farmacia de egército, que le cor responde por el art. 3.° de 1a referida circular, y por igual causa. - Por: otra de 3i del mismomessehas…</t>
  </si>
  <si>
    <t>Germain</t>
  </si>
  <si>
    <t>…conde de Arjuzon, al conde Dejeau, al marques Dampierre* á nuestro primo el mariscal príncipe de Eckmiihl, á nuestro pri mó el duque de Esclignac, al conde de ... ........... , al conde Germain, pre fecto del departamento del Sena y del Marne, al conde Germi ¡y, prefecto del departamento del Oise, al conde de Grammont de Aster, coronel de la legión de los Bajos-Pirineos, al conde Félix de Hunolstein , al vizconde de Houdétot, á nuestro primo el mari…</t>
  </si>
  <si>
    <t>Germi</t>
  </si>
  <si>
    <t>…primo el mariscal príncipe de Eckmiihl, á nuestro pri mó el duque de Esclignac, al conde de ... ........... , al conde Germain, pre fecto del departamento del Sena y del Marne, al conde Germi ¡y, prefecto del departamento del Oise, al conde de Grammont de Aster, coronel de la legión de los Bajos-Pirineos, al conde Félix de Hunolstein , al vizconde de Houdétot, á nuestro primo el mariscal conde Jourdan, al conde Laforest, al conde Lacepede, al cond…</t>
  </si>
  <si>
    <t>Geróni</t>
  </si>
  <si>
    <t>…món González Vil/armil, de la parroquia derSograndió, á Domingo Martínez, dé la de Villar de Obeyó, a D. AntonioPelaez¿ de la de BasCones , á Josef Fernandez, de la de OUoniego, á D. Geróni mo Armayor , de lá de Oviñana, á Isidro García, de la de Piñeres, y á Do mingo Amado , de S. Martin de Huerces, por haber acreditado todosiperfectamente haber fabricado muchas mas varas de pared de piedra que las que por el manifiesto se exigen, 1 Educación p…</t>
  </si>
  <si>
    <t>Gerónimo</t>
  </si>
  <si>
    <t>…r Alejandro fue con el uniforme de su regimiento austríaco. Recibieron á SS. MM. el Príncipe Imperial, los; Archiduques^ Cirios y Antonio, el duque Alberto de Saxonia-Teschen y el conde Gerónimo de ¿olloredo al frente de sus regimientos. La Emperatriz y la. Archiduques» Henriqueta estuvieron en birlocho. Al tiempo de desfilar las trppas tomó el Emperador Alejandro el mando de su regimiento, é hizo al Emperador de Austria los honores militares, y por…</t>
  </si>
  <si>
    <t>…odas sus* disposiciones ordené ,mi. tr1opa; sacánda 25 h&lt;anbres. de gnercillar al roandó del subteniente Men~ tdozac,;y íi2 biein montados al miovldéjanda eli restonaídfel'alférez D. Gerónimo del’Aguilá pata que apoyase ainbat peemlias ,. yi los montados' al del teniente .Piguerp^, ctibíieadOíMretaguatiliai^fa en caso queJa^qnísíesen incomodar; y &lt;&gt;- - t-s. ^ovjrlv^oa&amp;bL 'iobiráiu.^ü -V • - ■' im* bálandrít* y una íl^ha-dtti'loaéÍ5DÍarpruce«*tóarv…</t>
  </si>
  <si>
    <t>Gesarini, Cayetano</t>
  </si>
  <si>
    <t>Cayetano Gesarini</t>
  </si>
  <si>
    <t>…D. Joaquín Sánchez Badajoz; subtenientes D. Juan Calvillo y D. Francisco Alvarez: del provincial de Fer nando, vil subteniente D Manuel Cúbelo; y de caballería dragones de Pue bla teniente D. Cayetano Gesarini, y alférez D. josef Frontera. ,,También recomiendo á V. S. muy particularmente a mi ayudante de órdenes el capitán de cazadores del provincial de Fernando vil D. Francisco Cortazar, y á mi ayudante de campo el teniente del regimiento de infantería de línea de…</t>
  </si>
  <si>
    <t>Ghaptal</t>
  </si>
  <si>
    <t>…han suscrito á la asociación muchas de las personas más distinguidas, , citando entre ellas al duque de la Ro’chefoucault, Mr. Benjamiti Delessert^ el vizconde de Móntmoréncy , él conde Ghaptal, el conde I*arú, el duque de Bróghé, Mr; Cottu, el báron Pasquier , el mariscal Suchet &amp;c. - f ; ; ‘ En la sesión pública de anteayer adjudicó la academia .de Ciencias á Mr. Fresnel el premio de física en el punto* que se había propuesto en sesión pú blica de…</t>
  </si>
  <si>
    <t>Gi, Antonio Félix García</t>
  </si>
  <si>
    <t>Antonio Félix García Gi</t>
  </si>
  <si>
    <t>…uarnición formada, é hizo los honores y descargas de orde nanza con el debido orden y disciplina. . / „ Mota del cuervo jo de Febrero. El maestro de primeras letras de dicha villa D. Antonio Félix García Gi rón, para manifestar al púbico que proporciona á los minos de su cargo la instrucción cristiana y política de que son susceptibles, de acuerdo con el al calde mayor el Lie. D Tiburci &gt; Agían y el cura párroco Dr D. Félix Sal cedo Alvarez de Toledo, reunidos e…</t>
  </si>
  <si>
    <t>Gíensdorff</t>
  </si>
  <si>
    <t>…de Prusia y el duque de ,Wellington hap sido, convidado;? por ej Emperador de Rusia para presenciar las revistas generales" 4®1* egército polaco •en Varsovia. ' ; ,f) . . ... ; El general Gíensdorff, ayudante del Rey , |ha:publicado una impugnación de la memoria de Mr.L inde ñau , -solare la inutilidad y aun per^uiqioes que resultarían de que la Confederación Germánica tuviese un egército de que disponer, memoria que ha llamado mucho la atención en toda…</t>
  </si>
  <si>
    <t>Gieseki</t>
  </si>
  <si>
    <t>…Stiria, y puesta en comunicación coh él Joatmium de Gratz. También se publicará en Stiria un periódico científico bajo la pro tección del misrrío Archiduque. &gt; Ha llegado aquí el profesor Gieseki con las ricas colecciones de objetos de historia natural que ha reunido en Islandia’y Groenlandia pata el gabinete del Emperador y el Joannium de Gratz. S, M. hizo un gran regalo al profesor, quien se vuelve á Dublin á Continuar su iíuévo destina. ’ Se han ex…</t>
  </si>
  <si>
    <t>Giialt, Juan Ferrcr y</t>
  </si>
  <si>
    <t>Juan Ferrcr y Giialt</t>
  </si>
  <si>
    <t>…'de farmacia de egército á D. I&lt; amen Babailé , residente en la v.iita- de -Cardona:' á D. Joseí María Chao, en la de Pontevedra: á Don Josef Montada, en la ciudad de Barcelona: á D. Juan Ferrcr y Giialt, en la villa de Y illafranca del Panadés, y á D.. Gregorio C orrea , en la de Villafrechos provincia de Valladolid ; declarando al mismo tiempo le ha sido muy grata á-S. iVi. la cesión que respectivamente han hecho de la pensión que con. arreglo á la circular…</t>
  </si>
  <si>
    <t>Giizman, Pedro</t>
  </si>
  <si>
    <t>Pedro Giizman</t>
  </si>
  <si>
    <t>…de lá Péja, su término y jurisdicción, al Sr. D. Pedro Tesifon de Motezuma de la Güevá y Boncagorá por el escribario Diégó Rubio del Campo, fechan de ¿'9.. Fundación qúe hicieron D. Pedro Giizman y Doña María Tejudo, eil ^?e ifistitu^én por pátrohoá áfo^ parientes dé sangré, y á falta de estos á loé RR. PP. prior de Atocha y guardián de S. Francisco, fecha ante el escriba no dé provincia Pedro Sánchez dé Buéndía en Madrid á ij dé Diciembre de r737Segundo légajo. í.° Pape…</t>
  </si>
  <si>
    <t>Gijon, Tomasa</t>
  </si>
  <si>
    <t>Tomasa Gijon</t>
  </si>
  <si>
    <t>…ñor juez y escribanía del numero de D. Jacinto Gaona y Loeches, que se ad mitirán las que hiciesen siendo arregladas. - : Quien tuviesei noticia del lugar donde resida la madre de Doña Tomasa Gijon, esposa de D. Juan Indaburu, capitán quefue del regimiento fijo de Guayaquil, que han.fallecido sin sucesión, se servirá avisarlo en la calle Mayor, casa de la Estera, niiin. 8,.cuarto último-de la derecha-, lo que se Ies agradecerá, pues es para comunicaria…</t>
  </si>
  <si>
    <t>Gil, Fermín</t>
  </si>
  <si>
    <t>Fermín Gil</t>
  </si>
  <si>
    <t>…e la misma, y á D. Dalmacio Alpuente, fiscal de U*. civil del propio tribunal: para esta plaza á D. Josef Ayuso y Navarro, que lo es del crimen de la mis ma; y para esta resulta á D. Fermín Gil. de Linares, fiscal del consejo de Navarra. Paralas cuatro plazas de alcaldes del crimen de dicha audiencia</t>
  </si>
  <si>
    <t>Gil, Francisco</t>
  </si>
  <si>
    <t>Francisco Gil</t>
  </si>
  <si>
    <t>…anilia,y la de Badajoz á!Df Julián de Luna* Y poste^riorniente en Real orden de i.° de Mayo próximo pasado se djgnó Sf ijl. CÓnL ceder en iguales términos ía cátedra de Valencia á D. Francisco Gil. • Con Real orden de íj de Marzo del año próximo pasado de7181.8 ,se ré¿.¿litio, á consulta del Consejo, una representación que hicieron á $. M.fen £ de. Febrero anterior los directores de la compañía de paños .fe Efe corté fe solicitud de que se sirviera con…</t>
  </si>
  <si>
    <t>Gil, Josef Martínez</t>
  </si>
  <si>
    <t>Josef Martínez Gil</t>
  </si>
  <si>
    <t>…merarios de cortina. Al Dr. D. Martin Gil, deán de la santa iglesia de Mechoacan, y Don Josef Vivas de Aragón, canónigo de la catedral de Astorga. Honores de médicos de Cantara. A D. Josef Martínez Gil, y D. Félix Casanova. Honores de cirujanos de Cámara. \ ' ‘ A D. Josef Gil Campos \ y D. Miguel Col!. ^ * V . í . JL ■ . ’ Idem de boticarios de Cámara. A T&gt;. Josef Mignard , jr D. Calixto García. ídem de cirujano de Familia. A D. Ptócido del Valle. . - ■ ; :…</t>
  </si>
  <si>
    <t>Gil, Juan Romualdo</t>
  </si>
  <si>
    <t>Juan Romualdo Gil</t>
  </si>
  <si>
    <t>…ta de la compañía de cazadores y granaderos al mando'de los tenientes D. Francisco Naranjo y D. Josef María Ferra, me dirigí al citado cantón, comunicando por medio de mi ayudante teniente D. Juan Romualdo Gil que al quien, vive que diese cualquier soldado y no se lé Cónte^ase se hiciese fuego ; péró en tendida mal h orden por el sargento primero de cazadores, rompió el'fuego con la primera cuarta, causa¡tíe que se hayan escapado 3 rebeldes de los 5 que había. Son…</t>
  </si>
  <si>
    <t>Gil, Martin</t>
  </si>
  <si>
    <t>Martin Gil</t>
  </si>
  <si>
    <t>…s de gentileshombres de la Real casa. A D. Luis Pizana; D. Manuel de Ibarra y Padilla ; D. Francisco Florez, y D. Pedro Josef Lesaca. Sumilleres supernumerarios de cortina. Al Dr. D. Martin Gil, deán de la santa iglesia de Mechoacan, y Don Josef Vivas de Aragón, canónigo de la catedral de Astorga. Honores de médicos de Cantara. A D. Josef Martínez Gil, y D. Félix Casanova. Honores de cirujanos de Cámara. \ ' ‘ A D. Josef Gil Campos \ y D. Miguel Col…</t>
  </si>
  <si>
    <t>…yegasioa• do S^Felipe Nerl,. i^.rNúnv-2i.í. rD. B..;S. j&gt;. 6oÑúm. 2i6/El?^^r cura de S. Qinés.de Madrid, por limosnas recias de sus feligreses, 190. Núm. 217. D. N. 100. Ñúm. 218.’D. Martin Gil y ¿ar ces 500. Núm.219. Doña N.-A7 ^d;'Num;-22o. D. N. N. 24. Núm. 221. D. N. 320. Núm. 222. D.SantiágodlóbfédbUooYNúm. 223. D..A. O. 400. ^.m-,:2r2¡fe.-Kfty80. Núm. 225. -El Exorno. Sr.rduque de Veragua 500. Núm. 226. D. Manuel Hernández d$,Gregorio 160. Núm…</t>
  </si>
  <si>
    <t>Gil, Paulino</t>
  </si>
  <si>
    <t>Paulino Gil</t>
  </si>
  <si>
    <t>…Joaquin Vallverdu; en Betanzos en la, del Dr. D. Rosendo Fariñas;,-en ALcarjtjz en La de D. Ramon Villalba; en Caíatayud en ia de D. Lorenzo Gano Beirran; en Un Castillo en la de D. Paulino Gil; en Jaca en la de D. Josef Mora ; en Teruel en la de D. Antonio Herrero; en Zarago za en la del'Lie:’D» Mariano Herrando; en Alicante en la de D. Francisco Sarget; en-Cartagena en/la dcXDr. D. Juan Josef Franco;.en Orihuela en la, de D^Jósef Salón; en Tarrago…</t>
  </si>
  <si>
    <t>Gil, Romualdo</t>
  </si>
  <si>
    <t>Romualdo Gil</t>
  </si>
  <si>
    <t>…esa: tiene de pensión 430 robos de trigo dobrados, libre de todo reparto y gabela. Los pro fesores que quieran hacer solicitud remitirán sus memoriales dúrante el mes de Junio ' á D. Romualdo Gil, alcalde de dicha villa. ", ^ 1 En fines del año de 1808 entre otros quintos que salieron de la villa de Ciiervá para el regimiento Imperiales de Toledo fue uno D. Remigio Cristina, ordenado de primeras órdenes: después se supo que en el año siguiente concurr…</t>
  </si>
  <si>
    <t>Gil, Tadeo Ignacio</t>
  </si>
  <si>
    <t>Tadeo Ignacio Gil</t>
  </si>
  <si>
    <t>…la de Valencia, á D. Vicente Fuster y á D. Vicente Lisa y las Balsas, también alcaides del crimen de la expresada audiencia de Valencia. Igualmente se ha dignado S. M. conceder á D. Tadeo Ignacio Gil, gober nador de la sala del crimen de la insinuada audiencia de Valencia, los hono res de alcalde de Casa y Corte: honores del tribunal Apostólico y Real de la Gracia del Excusado á D. Salustiano Mayordomo Cabrejas, fiscal de la co misión Apostólica del subsi…</t>
  </si>
  <si>
    <t>Gillembórg</t>
  </si>
  <si>
    <t>…ara recorrer la parte occidental y septentrional del reino, después de haber nombrado una co misión de Gobierno compuesta de cuatro individuos , que son el ministro-de la Justicia conde Gillembórg; el mariscal del reino conde Fleming; el canciller de la corte'conde Netterstedt, y el teniente general conde SkioídebrandK , ............" ' 1 ■' ■ ■ PRUSIA. ' \ - Breslau 4 de Setiembre, Ayer á las 8 de la noche liego aquí el Rey con S. A. R. el Príncipe Ca…</t>
  </si>
  <si>
    <t>Gimbernat</t>
  </si>
  <si>
    <t>…portunas la naturaleza, por el buen ánimo con eme llevo las molestias ele esta jornada, y el interes con que lo observaBá todo. "Desea-ron SSjJMM. ver una fuente que ha formado el caballero Gimbernat en la cima dd Vesubio por medio de cierta maquina., que condensando los vapores los reduce á un agua potable y cristalina ; y aunque era peIigtdséL^cerdars&amp;. pójK la jnultifüddtíe piedras can dentes -que arrojaba'el volcan con mucha violencia , y caian alrede…</t>
  </si>
  <si>
    <t>Giustiniani, Santiago</t>
  </si>
  <si>
    <t>Santiago Giustiniani</t>
  </si>
  <si>
    <t>…iaiSel corriente, senatadoporSbM. para el oficio, se cele brabandas vísperas * máitinesy laudes de difuntos cantados pór- la Real capilla de&gt;S. Mv^oficiando depdntifipal.el Excmo. Sr. D. Santiago Giustiniani, Nuncio de S.&amp;.: ocuparon dos agrandes -el banco &gt;que les i corresponde , y á su cabeza su taburete él Sr¿&gt;máyordorird mayor.* Ada parré opdestas'estuvieron en ej suyo los embajadores de fami&gt;iia ; de$pues'los* Capel lañes dehonory predicadores de S. M ; cerc…</t>
  </si>
  <si>
    <t>…la mañana del siguiente aia celebraron de pontifical la misa de Espíritu Santo el obispo de Teruel, la de la Virgen nuestra Señora el obispo de Za ina, y la de difuntos el Excmo. Sr. D. Santiago Giustiniani, nuncio de S. S., oficiando todas tres la músicá de la Real capilla. Acabada la última misa pro nunció una elocuente Oración fúnebre el Dr. D. Víctor Damian Saez, pre dicador de S. M., y canónigo lectoral de la santa iglesia de Toledo, primada de las Españas;…</t>
  </si>
  <si>
    <t>GL, B.</t>
  </si>
  <si>
    <t>B. GL</t>
  </si>
  <si>
    <t>…353. Él Excmo. Sr. duque de;Sedavi 360. Núm. 354. Juana Perez 20. Núm. 355'. D. J; M. y B. 40. Núm. 356.. Los individuos del gremio de herreros de grueso de Madrid 400. Núm-i 357. D. B. GL iA. 100. Núm..348*:D[oña C. M.de.E. 177 rs~y 2Ó mrs. Núm. y^. Doña M.</t>
  </si>
  <si>
    <t>Gmtlereagh</t>
  </si>
  <si>
    <t>…lisojijeró el ipqrvenir que set nos presenta; pues la previsión humana no puede descubrir causa alguna „queb fuese poderosa á alterar esencialmente este orden. , ' El discurso de lord Gmtlereagh es una especie de preámbulo para; presen-? .tar el bud]et ó presupuesto; habiéndose notado como una. cósa, nueva que se hagan tantas explicaciones con motivo de renovarse simplemente unaco.misiom Mr. Wilberforce ha presentado úna* petición en nombre de los in…</t>
  </si>
  <si>
    <t>Gó, Casimiro Antonio</t>
  </si>
  <si>
    <t>Casimiro Antonio Gó</t>
  </si>
  <si>
    <t>…ables á las providencias q^e se dicten.,,, En virtud de providencia del Sr. D. Manuel Josef Rubio, teniente corregidor de esta muy herolcar villa-* por la escribanía del.número de D. Casimiro Antonio Gó mez , se qita para junta geheijal,' qu&amp; ha de'celebrarse en la posada de S. S. el domirigo 5 de Diciembre próximo, a jas nueve de la mañana, á todos los acreedores de la señora marquesa viuda de Ordoño, que falleció en Madrid el 1,° de Julio de es te año. Se…</t>
  </si>
  <si>
    <t>Godines, Juan</t>
  </si>
  <si>
    <t>Juan Godines</t>
  </si>
  <si>
    <t>…Manuel de la Concha al Exce? lentísimo Sr. í)irey, **\ ,, Excmo. Sr.: Acompaño á V. E. el parte que con fecha 5 del corriente me ha remitido desdé el destacamento de Cüahuitlan el capitán D. Juan Godines de la expedición á que salió el dia ¿sobre el parage nombrado el cerro Azul. . „ Esta fue la misma que anuncié á V* E. en mi oficio numeró 309 de 31 del pasado Enero, y aunque no tuvo los buenos efectos que yo me propuse, $e ha logrado á lómenos la destrucció…</t>
  </si>
  <si>
    <t>Godoy, Diego</t>
  </si>
  <si>
    <t>Diego Godoy</t>
  </si>
  <si>
    <t>…1818. Nota. A consecuencia de esta orden se hallan ya en esta corte a dis posición del Consejo supremo de da Guerra en la calle de Alcalá, esqui na d la del Prado, casa que fue de D. Diego Godoy, 20 yeguas y dos caballos padres, todos de Normandía ¿ dé cinco d seis años de edad, pa ra distribuirlos d los criadores del ganado yeguar que los pidan, en los términos que en dicha orden se previene. El Rey nuestro Señor se ha servido conceder su Real permi…</t>
  </si>
  <si>
    <t>Goedlin</t>
  </si>
  <si>
    <t>…onel Luternau, que ha hecho servicios muy importántes á su patria, yónas en particular al arma de !que és gefé, y después dió á reconocer á la tropa por director: de la escuela ai coronel Goedlin, y á otros varios oficiales como encargados de diferentes partes dé la enseñanza. GRAN BRETAÑA. Londres 20 de Agosto. Son muy satisfactorias las noticias que se han recibido esta mañana de Manchester ; pues dicen las cartas que ya no hay que temer alli mas co…</t>
  </si>
  <si>
    <t>Goilowkih</t>
  </si>
  <si>
    <t>…a ha venido acompañando á su augusto Padre. Ayer á las 10 de la noche llegaron los Reyes de Wurtembetg., El conde de Goltz/ministro dePrusíá, tiene un gran* convite esta noche. El conde Goilowkih,.enviado extraordinario y ministro plenipotenciario dé Rusia en Viena , y el harona de Bersfett, ministro de Estado de la corte de Badén, llegaron también ayer de. Aquisgrán. &gt;, &gt;■;. í5» .«; Idem 24, . Anoche cerca de las 12 entró .en esta ciudad el Emperador…</t>
  </si>
  <si>
    <t>Gómez, Antonio</t>
  </si>
  <si>
    <t>Antonio Gómez</t>
  </si>
  <si>
    <t>…s que nos esperan en lo sucesivo hasta la completa destrucción de ios rebeldes. Pongo en manos de V.E. el parre original que me dio el comandante general de la caballería teniente coronel D. Antonio Gómez, á quien comisione con dos escuadrones de su regimiento para que'atacase por el frente al cabecilla que se titula teniente coronel Jesús* Angulo, el cual supe que con 160 hom bres de caballería estaba en aquel punto : al mismo tiempo mandé por-detras de una m…</t>
  </si>
  <si>
    <t>Gómez, Casimiro Antónicj</t>
  </si>
  <si>
    <t>Casimiro Antónicj Gómez</t>
  </si>
  <si>
    <t>…orte, ya difunto, para que dentro de 30 días , contados desde 23 del pasado &gt; comparezcan por sí ó por medio de pro? curador en el juzgado de S. S. por lá escribanía del numero de D. Casimiro Antónicj Gómez á decir.de su. derecho y justicia en la instancia promovida por el D. Jo sefa continuada hoy pbr los Herederos de Doña Josefa Teresa de Maíz, difunta, so bre reclamación de ocho vales Reales de 300 pesos de las creaciones de Enero y Ma yo de 1808 y Setiembre…</t>
  </si>
  <si>
    <t>Gómez, Casimiro Antonio</t>
  </si>
  <si>
    <t>Casimiro Antonio Gómez</t>
  </si>
  <si>
    <t>…. Juan Poleresqui y D. Juan Muga Villamor, cuyo paradero se ignora, para que dentro de 30 dias, contados desde el 5 del corriente, acudan ante S. S. por la escribanía de número de D. Casimiro Antonio Gómez, á decir de su derecho y justicia en la instancia promovida en este juzgado por D. Lope de Quevedo Hopos, vecino de Sta. Olalla, en la provincia de bantander, reclamando ty' vales Reales de 150 pesos y tres de 300, que si vinieren se les oirá y guardará jus t…</t>
  </si>
  <si>
    <t>…itio 2619^ pies, y es su valor, según tasación, 20,398 rs. ym Quien quisiere hacer postura acuda dentro de 30 días, contados desde 9 del corriente, por la escribanía del número de D. Casimiro Antonio Gómez, que se le admitirá sien do arreglada. En virtud de providencia dictada en x 8 del corriente por el Sr; D. Ramón Satué, del Consejo de*S. M., su alcalde de Casa y Corte, por ia escribanía de provin cia vacante que sirvió últimamente D. Julián Alonso y Estrada…</t>
  </si>
  <si>
    <t>…fanegas y media, que antes sirvió dé ‘ huerta , con su pozo y pilares; tasado todo en 884,913 rs.y 17 mrs. vn. Quien quisiere hacer postura acuda por la escribanía del numera del Sr. D. Casimiro Antonio Gómez, que se admitirán siendo arregladas. En virtud de Real orden se arriendan por seis años, que darán principio en 29 del corriente, y cumplirán en 25 de Abril del de 1825, las yerbas ó pastos de inr</t>
  </si>
  <si>
    <t>io8$ 1619! píes, y es su valor según tasación 20,398 rs. vn. Quien quisiere hacer postu ra acucia, que se le admitirá siendo arreglada, por la.esccibtaoía del número, del Seríor D. Casimiro Antonio Gómez; y para su remate ¡se ha señalado el viernes 29 del corriente mes, á la hora del medio dia, en la audiencia de dicho señor juez. En virtud de providencia del Sr. D. Martin de Gaztañaga, del Consejo de S. M., su alcalde de Casa y Corte, se ha mandado citar y e…</t>
  </si>
  <si>
    <t>…su mañana. En virtud de providencia del Sr. D. Alanuel Josef Rubio, del Consejo de S. M., teniente corregidor de esta muy heroica villa de Madrid, por la escribanía del nume ro,de D. Casimiro Antonio Gómez, sa cita, llama y emplaza á los parientes de Don Eugenio Ruiz de. Amoraga, natural de la villa de Manzanares, soltero, que falleció en Madrid el 17 de Agosto del corriente año, para que dentro de 15 dias, conta dos desde el 24 del corriente, comparezcan en es…</t>
  </si>
  <si>
    <t>…£»o fanegas y media, que antes sirviót de huerta, con su pozo y pilares, tasado todo eñ 884,913 rs., 17 mrs. vn. Quien qu:siere hacer postura acuda por la escribanía del número de D. Casimiro Antonio Gómez, que se le admitirá siendo arreglada; en inteligencia de estar señalado para su remate el día 8 de Enero próximo en la audiencia de S. S. ' Se haila vacante la plaza de médico de Madrigal‘de las Torres , obispado de Avila: tiene de dotación 5© rs. anuales, y…</t>
  </si>
  <si>
    <t>Gómez, Cristina</t>
  </si>
  <si>
    <t>Cristina Gómez</t>
  </si>
  <si>
    <t>…de intereses de vales Reales, importantes 1624 rs. Núm. 509. El Excmo. Sr. conde, del Montijo 320. Núni&gt;y.jo. Don N. 88 rs. y 24 mrs. Núm. 511. D. N. 110 rs. y 20 mrs. Núm. 51 2. Doña Cristina Gómez 60. Núm 513. D. Y. A. R. 60. Núm, &lt; 14. D. N. 20. Nú mero 515. D. Francisco Gracia i dignidad maestrescuela de la catedral de Cuen</t>
  </si>
  <si>
    <t>Gómez, Gabriel</t>
  </si>
  <si>
    <t>Gabriel Gómez</t>
  </si>
  <si>
    <t>…cedió á repartir los premios de úna ¿pedalla de pláta, coneí-íémá en su orla 'Real consulado de Málaga, y en medio Premió á la juventud aplicada. Los 4 mayores á D. Manuel Llera, D. Gabriel Gómez , de Cádiz , IX'Jósef dé Rute y á D. Josef Mendoza, que fueron los que mas sobresalieron. Lósl 20 menores restantes á D. Francisco Molina, al guardia de la Real Pérsona Di Jo sef V idaurre, D. Rafael Rico, D. Celestino Arel lañó, D. Josef Jiménez, Don Juan Pe…</t>
  </si>
  <si>
    <t>Gómez, Josef León</t>
  </si>
  <si>
    <t>Josef León Gómez</t>
  </si>
  <si>
    <t>…Ramos, naturales de la villa del Pao. Aprobados en sus empleos de capí* tañes de milicias; la nobleza personal, y la medalla de oro á ambos Ochoas. Capitán de milicias de Cumand. D. Josef León Gómez. La nobleza per sonal.'' Capitán de milicias de artillería de&gt; Puerto-Cabello. D. Faustino Car ees. La nobleza personal. / Guerrillas de Camatagua. D. Josef Antonio Ramírez, D. DomingoTason. Confirmados en sus empleos de capitanes, y la nobleza personal»</t>
  </si>
  <si>
    <t>Gómez, Manuel</t>
  </si>
  <si>
    <t>Manuel Gómez</t>
  </si>
  <si>
    <t>…irre, D&gt; Alonso Reina; D Josef Garci, D. Ramón Porta, D. Francisco Marín, D. Manuel Capace te , D. Josef Morales , D. Matías Michana, D. Gregorio de Casadevals, Don Miguel Fassia, D. Manuel Gómez, D. Miguel Reina y D. Manuel Rojas. - Valladolidá'S de Julio. • ! , n ;• / La Real sociedad económica de esta capital y provincia celebró ehlj/tardé del 26 del corriente la junta públicay solemne de distribución dé premios en las sidas coi.sistofiales. El Exc…</t>
  </si>
  <si>
    <t>Gómez, Pedro Andrés</t>
  </si>
  <si>
    <t>Pedro Andrés Gómez</t>
  </si>
  <si>
    <t>…infantería. La per sona que tuviese noticia cierta de dicho D. Juan, ya sea muerto ó vivo, se servirá comunicarla á la referida Doña Felipa, que reside en Valencia, casada con el capitán D. Pedro Andrés Gómez, á quien se dirigirá el sobre de la carta en la misma ciudad de Valencia. Nota, En algunos egemplares de la gaceta, anterior pág.; 10*7, lín. 35/donde dice 1 r de Setiembre, debe decir 11 de Octubre. EN LA IMPRENTA REAL.</t>
  </si>
  <si>
    <t>Gon, Josef</t>
  </si>
  <si>
    <t>Josef Gon</t>
  </si>
  <si>
    <t>…de Mostrencos de la villa de Bejar, y escribanía de D. Pedro García Bajo, se ha señalado el domingo .26 del corriente para el remate de las fincas siguientes, que pertenecieron á D. Josef Gon zález Ri'co, vecino que fue de esta corte, y éstan declaradas abintestatas. Un mol ño harinero con dos piedras en la ribera de Bejar, por ¿ima del puente de S. Albin, tasado en 19^ rs.: está puesto en la misqja suma á pagar en metálico. Un prado en término de…</t>
  </si>
  <si>
    <t>Gon, Miguel</t>
  </si>
  <si>
    <t>Miguel Gon</t>
  </si>
  <si>
    <t>…4, que contiene 2646 pies de area plana, tasada en la cantidad de 53,468 rs. vn. La persona que quiera hacer pos tura acuda ante dicho señor juez y por la escribanía del número de D. Miguel Gon zalo, donde se admitirán las que se Hagan siendo arregladas. Se ha señalado el día 26 de Junio en la posada del Sr. I&gt;. Angel Fernandez de los R ios para junta de acreedores al concurso de D. Henrique Peñaiosa, mandando se cite á los acreedores ausentes por m…</t>
  </si>
  <si>
    <t>González, Agustín</t>
  </si>
  <si>
    <t>Agustín González</t>
  </si>
  <si>
    <t>…b &lt;á la rodilla, llegué á Sta. Ana ádas i-v-'V, Eijmismo día á la oracion-dc la noche, aparentando ponerme en mar cha para este pueblo , dividí la sección en tres partidas: la del teniente Don Agustín González debía marchar por la izquierda , y situar dos ó tres embos-cadas antes de amanecer en las inmediaciones de Timbinal; la del porta Casa do tenia orden de dirigirse por el centro, y sorprender en el rancho de la -Huerta, á dos leguas y media de Salvatierra, á t…</t>
  </si>
  <si>
    <t>González, Alonso</t>
  </si>
  <si>
    <t>Alonso González</t>
  </si>
  <si>
    <t>…lcáñizas, su madre, para él pago de deudas y otros legados, la cual está autorizada por el escribano Francisco Isidro de León en 27 de Agosto'de 1691. 4.0 Papeles pertenecientes á D. Alonso González de la Mesguita- sobre ser vicios en la. Real armada. 5.0 Venta judicial que se despachó por el Sr. .alcalde D. Francisco Trelíes ante Juan Serrano Simón, escribano de provincia, en favor- de Pedro Gil de Paules, vecino de estacorte, de unas casas que están en…</t>
  </si>
  <si>
    <t>González, Antonio</t>
  </si>
  <si>
    <t>Antonio González</t>
  </si>
  <si>
    <t>…as calle de las Carretas, á las ío en punto de la mañana, presidiéndola conforme á su instituto la junta de go*bierno de la misma compañía , y á ambas su presidente nato el Excmo. Señor D. Antonio González $a)mon, secretario de Estado y del Despacho universal de Hacienda, si sus ocupaciones se lo permitiesen. Los accionistas que tuvie ren 20 6 mas acciones propias deberán hacerlo constar en la secretaría de la compañía , exhibiendo las acciones, ó entregando te…</t>
  </si>
  <si>
    <t>González, Antonio Conde</t>
  </si>
  <si>
    <t>Antonio Conde González</t>
  </si>
  <si>
    <t>…nto, barrio de Pórtaceli, señalada con el núm. 25 de la manz. 306, que tiene de sitio 989^ pies cuadrados superficiales, y se ha tasado en 22 de Setiembre último por el arquitecto D. Antonio Conde González en 26,836 rs. Quien quisiere hacer postura acüdá ante dicho señor juez y citada escribanía ea el término de 30 dias, contados desde el 4 del corriente. En virtud de providencia del Sr. D. Francisco Toribio de Ugarte, del Consejo supremo de la Guerra, se cita,…</t>
  </si>
  <si>
    <t>González, Antonio Solís y</t>
  </si>
  <si>
    <t>Antonio Solís y González</t>
  </si>
  <si>
    <t>…oyo, ,D. Diego Guerrero y Sedaño, D. Julián Velarde y Santillan, D. Josef Abev11a y Conde, D. Juan Teran y Caldera , D. Juan DFIerve y Paredes, Don Francisco Navas Garro de Ulloa, D. Antonio Solís y González, D. Julián Giraldo y Molina, D. Joaquín Muñoz y Larraiñzár ¿ D; Salvador Hidalgo y Sarria, D. Juan Labastida y Bustamante, D. Vicénfe MazeyLizknn de Cano Manuel, D. Cayetano Vivanco y Young, D Josef Avila y Miranda, Don Antonio Ibañez y Ortega, D. Gregorio As…</t>
  </si>
  <si>
    <t>González, Benito Saenz</t>
  </si>
  <si>
    <t>Benito Saenz González</t>
  </si>
  <si>
    <t>…ngel, alcalde mayor del Real sitio de S. Lorenzo, y D. Jo sef de Urrutia, agente fiscal segundode la junta suprema patrimonial de Ape laciones, con antigüedad. De la de Granada. A D. Benito Saenz González, asesor del Real sitio* de S. Ildefonso, y D. Juan Meneses y Calvete, corregidor de Soria.</t>
  </si>
  <si>
    <t>González, Donata</t>
  </si>
  <si>
    <t>Donata González</t>
  </si>
  <si>
    <t>…ca villa, se han mandado sacar nuevamente á pública subasta por término de 20 dias-, para pago de acreedores, dos casas sitas en esta corte, correspondientes á la testamentaría de Doña Donata González, la una en la calle de la Comadre, que hace esquina y vuelve á Ja' del Sombrerete, señalada con. el número 5 de la manz. 57, que tiene de sitio-45Sopiés cuadrados.superficiales , y está retasada en 46,972 rs. vn. Y la otra en la calle de -la Paloma» núm. 22,…</t>
  </si>
  <si>
    <t>González, Francisco</t>
  </si>
  <si>
    <t>Francisco González</t>
  </si>
  <si>
    <t>…ó moral seguir -el objeto propuesto, y traducido con toda propiedad y elegancia las fábulas de Fedro elegidas al arbitrio de los asistentes. Los discípulos de mayores, ai cargo de D. Francisco González, desempeñaron diestramente la versión de la égloga, quinta de las Bucólicas de Virgilio, y la cracicn de Cicerón p^ro Quin to Ligario, el análisis de la vida de Arístides, la parte de composición, y un argumento del libro segundo de la Eneida; dando en tedó e…</t>
  </si>
  <si>
    <t>González, Francisco Antonio</t>
  </si>
  <si>
    <t>Francisco Antonio González</t>
  </si>
  <si>
    <t>…en las solemnísimas exequias, celebradas éñ'ésta corté á ex pensas del Rey nuestro Señor por sú amada Esposa la RefNa Doña María Isa bel de Braganza. y de Borboñ, pronunció el Dr. D. Francisco Antonio González, bibliotecario mayor honorario, y predicador de S. M., individuo de varias academias, y rector del hospital de la Latina; Véndese á 4 rs. en la librería de Perez , calle de las Carretas.- • — ............ ......... Nota. En la gaceta anterior , pág. 341, ¡lín…</t>
  </si>
  <si>
    <t>…e su Real agrado. Sentado después bajo un dosel que esta ba preparado á su augusta Persona, tuvo la dignación de escuchar un discurso que profirió el bibliotecario mayor honorario D. Francisco Antonio González, en el que, dando una idea de las vicisitudes que ha tenido en sus edificios 1» Real biblioteca, manifestó la gratitud del cuerpo, de los individuos, y de to dos los literatos á la generosidad de un Monarca , que ha sabido proteger pot medio tan particular lo…</t>
  </si>
  <si>
    <t>González, Genaro</t>
  </si>
  <si>
    <t>Genaro González</t>
  </si>
  <si>
    <t>664</t>
  </si>
  <si>
    <t>…de .Cámara de S.M., presidente de Iá Real .junta superior gubernativa de Medicina, individuo del supremo Consejo,de Hacienda &amp;c. &amp;c.', y. egercitaron los discípulos D. Luis Uribe, D. Genaro González, D. Pedro Lean dro Romero, D/ Joaquín Martiñ dé ÑkqláSV'EX Antoñló García Pozó, í&gt;on Vicente Losada y D. Pío Sanca. Sin embargo' dé quetodos lós-aspirantes á los referidos premios han excedido en laSpfúebás'tjúelháñ^dádó para lograr los las esperanzas de- sus…</t>
  </si>
  <si>
    <t>González, Joaquín María</t>
  </si>
  <si>
    <t>Joaquín María González</t>
  </si>
  <si>
    <t>…la * licencia para usar de la condecoración de la flor de Lis con que ha sido agraciado por S. M. Cristianísima. Atendiendo S. M. a los méritos y servicios del comisario ordenador Don Joaquín María González de. Estéfani, administrador general de la renta de Reales loterías en el reino de Valencia, se ha servido concederle los honores de intendente de provincia. Los pueblos de la Andalucía baja afligidos de la calamidad del contagio experimentan dichosamente tal…</t>
  </si>
  <si>
    <t>González, Juan</t>
  </si>
  <si>
    <t>Juan González</t>
  </si>
  <si>
    <t>…de concordia expedida en 7 de Marzo de 1743* refrendada del escribano de Cámara D. "Juan Antonio de Cos. 2.0 Escritura de venta que otorgaron los curadores de los hijos menores de D. Juan González, carpintero, en favor de Agustín Fernandez de una casa de esta corte, sita en la plazuela de la Cebada, y ei dicho Agustín Fer nandez y Ana Perez su muger, censo-en favor de los dichos menores y suceso res , de cuantía de 67.3 rs. y 25 mrs. en cada un año, pa…</t>
  </si>
  <si>
    <t>González, Manuel</t>
  </si>
  <si>
    <t>Manuel González</t>
  </si>
  <si>
    <t>…ifesté á vmd. en mi oficio de i;** del corriente, traté de sor prender el cantón del cabecilla Tinoco, como lo verifiqué al diá siguiente, disponiendo que el capitán de caballería D. Manuel González con toda la fúe?*za de esta arma marchase á cortarles la retirada, mandando de su tropa 40 hombres pie á tierra para que monteasen á los que pudierais huir pasando el rio. De la infantería hice dos secciones, la una con objeto de atacar o sor prender , y la o…</t>
  </si>
  <si>
    <t>González, Mariano Rufino</t>
  </si>
  <si>
    <t>Mariano Rufino González</t>
  </si>
  <si>
    <t>…, y I). Juan Miguel Aloy., isleño, los cuales debían hallarse en Zaragoza; por lo cual se comunicó este incidente al capitán genera! de Aragón, y el mismo tribunal co misionó á su alcalde D. Mariano Rufino González para la instrucción de este proceso, quien dirigió las órdenes oportunas al gobernador de la sala del cri men de Zaragoza para la prisión de los cómplices de este delito Pons y Aloy. Son diversas las indicaciones de letras suplantadas por dichos sugetos, y pr…</t>
  </si>
  <si>
    <t>González, Pedro María</t>
  </si>
  <si>
    <t>Pedro María González</t>
  </si>
  <si>
    <t>…en medicina, senador é individuó del instituto nacional, de la escuela y sociedad de medicina de París, de la sociedad americana, de la de medicina de Bruselas &amp;c., traducidas por D. Pedro María González, doctor en medicina y cirugía de Cádiz, de la Real Academia de medicina práctica de Barcelona y de la sociedad economicé de Cádiz. Véndese á 5 rs. en el despacho de la imprenta Real, y en Cádiz enLalt^ •'* Li: r-°^ ¿Ji; -'“ 'l &lt; zrtimntMjbrería de Pajares.' •…</t>
  </si>
  <si>
    <t>González, Tomas</t>
  </si>
  <si>
    <t>Tomas González</t>
  </si>
  <si>
    <t>…o de dragones del Prín cipe. ; Honores del tribunal de la Rota. A D. Lorenzo Ortega, canónigo lectora! de Santiago; D» Luis’ Ramírez Thoií de Monsalve, capellán de honor de S. M.; D. Tomas González, canó nigo de Plasencia. POR LA SECRETARIA DEL DESPACHO DE LA MAYORDOMIA MAYOR. Llaves de gentileshombres de Cámara con egercicio. Al Marques de Mora; conde de Orgaz; marques de la Romana; marques de Paredes conde de Illas; marques de Cárdenas de Montehermoso…</t>
  </si>
  <si>
    <t>Gonzalo, Miguel</t>
  </si>
  <si>
    <t>Miguel Gonzalo</t>
  </si>
  <si>
    <t>…arcía Marques, á fia de que dentro del término preciso y perentorio de 20 dias, contados desde dicho dia, comparezcan ante el referido señor juez y por la escribanía del número de D. Miguel Gonzalo, por sí ó por medio de procurador, con poder bastante, á decir y expo liar lo que tengan por conveniente; con apercibimiento que pasados se declarará la indicada herencia á favor del pariente ó parientes que acrediten ser, mas inmediatos, y les parará el perj…</t>
  </si>
  <si>
    <t>…inteligencia de que los que hubiesen su cedido en los derechos de los, acreedores que hayan fallecido, se acreditará con los competentes documentos por la escribanía del número de D. Miguel Gonzalo; con ápercibimiento qué al que no lo haga ni comparezca le parará el perjuicio que haya lugar. . ' ‘ Por providencia del Sr. D. Angel Fernandez de los Rios, del Consejo de S. M., teniente de corregidor de esta muy heroica villa, ante el escribano de su numero…</t>
  </si>
  <si>
    <t>…orriente, de n á una de su maña na, en la audiencia del Sr. D. Manuel Josef Rubio, del Consejo de S. M., teniente corregidor de esta muy Heroica villa , y escribanía del número de D. Miguel Gonzalo. Por providencia del Sr. D. Josef López del Pan, dictada en 7 del corriente, y refrendada del escribano de provincia y comisiones déla Real Casa y Corte de S. M. D. L uis López de Castro, se ha señalado el dia 17 del corriente para el remate de un quinto de l…</t>
  </si>
  <si>
    <t>$88 de 127,465 rs. vn. La persona que quiera hacer postufá á dicha casa acuda dentro del: cirado término ante el expresado señor juez, y por. la escribanía delnúmero de.Don Miguel Gonzalo, donde se admitirán la? que se hagan siendo arregladas^ en inídigen-, oía que para, el rematé de eUaose HaiseñaUdb cLdta d de'Qctubcé próxinio'í de u&lt; á ui*a de su&gt;mañana,j,en^la audiehci*? d« dicfeofs4eñor juez,r;, / r ; , k r j ,En virtud de Real facultad s…</t>
  </si>
  <si>
    <t>…ue quiera hacer mejora acuda por la audiencia del Sr. D. Manuel Josef Rubio, del Consejo de S. M., teniente corregidor de esta muy heroica villa, y por la escribanía det número de D. Miguel Gonzalo; en nyeligancia vque para el nuevo remate de dicha casa se ha señalado el dia 26 det corilen^e, de 12 á una de su mañana en la aud¡éneiadel referido señor jue*.</t>
  </si>
  <si>
    <t>Goosens, Pedro</t>
  </si>
  <si>
    <t>Pedro Goosens</t>
  </si>
  <si>
    <t>…el correo al deposita-rio de.la suscripción, y cobrada por este, 1®. Núm. 186. León Ponce 20. Núm. 187. D. D. G. y P. 20. Asimismo se han suscrito los señores siguientes: Núm. 21. D. Pedro Goosens , durante la epidemia ,con 200 rs. mensuales. Núm. 22. D. Josef Remigio del Toril y Torralba, por idem, con 20 idem. Núm. 23. Doña M. C. S., por idem , con 60 idem. Num. 24. D. TadeoSan-</t>
  </si>
  <si>
    <t>Gorosabe, Vicente</t>
  </si>
  <si>
    <t>Vicente Gorosabe</t>
  </si>
  <si>
    <t>…eres; pero faltarla á;la? justicia si dejase de participar á V. E. el re levante mérito que contrajeron en la batalla el teniente del regimiento de Na varra adietó al estado mayor D. Vicente Gorosabe, y mi ayudante el subtemiente del batallón de la Reina D. Josef Masanes, quienes con un zelo infati gable comunicaron mis órdenes, acompañándome en los sitios de mas expo sición, donde se distinguieron en valor y serenidad. Son dignos de la conside ración de…</t>
  </si>
  <si>
    <t>Gorostiza, Manuel Eduardo de</t>
  </si>
  <si>
    <t>Manuel Eduardo de Gorostiza</t>
  </si>
  <si>
    <t>…adelantando 17 rs. vn. para los dos tomos sir guíentes. Hállase también venal.en.la misma librería á 22 rs. en rústica. Indulgencia para todos: comedia original en cinco actos por D. Manuel Eduardo de Gorostiza. Se hallará en la librería jde González, frente á los Gremios. en la imprenta real.</t>
  </si>
  <si>
    <t>Gortari, Josef de</t>
  </si>
  <si>
    <t>Josef de Gortari</t>
  </si>
  <si>
    <t>…ra , oficiales de la secretaría de Estado y del Despacho dé Gracia y Juncia de España; D. Antonio Martínez Salcedo y D. Sebastian Hurtado. ' Honores de secretarios del Rey* A Frey D. Josef de Gortari, sirviente de armas de la orden de S. Juan de Jerusalen, y secretario de ía misma; D. Manuel María Segura, escribano de cámara, y secretario del Real Acuerdo de la chancillería de,Granada; Don Luis Lujan y Monroy, subdelegado de pósitos del partido de Arenas-…</t>
  </si>
  <si>
    <t>Gortázar, Luis</t>
  </si>
  <si>
    <t>Luis Gortázar</t>
  </si>
  <si>
    <t>…las compañías de realistas. ,,E1 8 á las cinco de ia tarde marché con 300 caballos hacia Puruandiro, y sobre Ja marcha separé dos-partidas, de 100 cada una, al mando del teniente coronel D. Luis Gortázar y espitan D; Juan Navarro. La continua lluvia y mal estado del camino embarazó mucho este movimiento; pero no obstante logré aprehender cinco rebeldes, de los cuales uno fue pasado por las armas,</t>
  </si>
  <si>
    <t>Gorvea, Lorenzo de Palacio y</t>
  </si>
  <si>
    <t>Lorenzo de Palacio y Gorvea</t>
  </si>
  <si>
    <t>…érmino de 30 dias acuda.á dicho juzgado por sí ó por medio de procurador, con poder bastante, á-decir y exponer lo que tuviese por conveniente en los autos formados a instancia de D. Lorenzo de Palacio y Gorvea, vecino y del comercio de esta corte, sobre la pertenencia de dos vales Reales de 300 pesos de la renovación de i.° de Setiembre de 1808, señalados con los números 20726 y 61970, que se.retuvieron por la Doña Felipa de la Lleta en la oficina del Crédito públi…</t>
  </si>
  <si>
    <t>Gosalves, Salvador</t>
  </si>
  <si>
    <t>Salvador Gosalves</t>
  </si>
  <si>
    <t>…Galicia, se ha servido aprobarlos, y mandar se publiquen en la gaceta para satisfacción del público en general. El Rey nuestro Señor se-ha servido conceder privilegio exclusivo al doctor D. Salvador Gosalves, cirujano médico de egército retirado, para que pue da vender, con una instrucción impresa sobre el modo de usarlas, unas fumi gaciones, con las que se curan afecciones venéreas las mas rebeldes é invetera das, y otras enfermedades crónicas, en particular las…</t>
  </si>
  <si>
    <t>Gourgaud</t>
  </si>
  <si>
    <t>…a tercia, cuya tem peratura parecía convenir perfectamente á este ganado: desde Marianópolis irán á Teodosía, y allí se embarcarán para Francia. ALEMANIA. Hamburgo /5 de Enero. El general Gourgaud se dirigió al ministro austríaco residente en* esta ciu dad para saber si se le permitiría establecerse en Praga,en el reino de Bohe mia i y habiendo el ministro pedido instrucciones á su corte, se le ha con testado «afirmativamente, bajo la condición de que…</t>
  </si>
  <si>
    <t>826</t>
  </si>
  <si>
    <t>…ba de darse á luz una obra , que no puede'menos de excitar vivamente la curiosidad del público: su título es Observaciones sobre la relación de la campaña de x8i$y que publicó, el general Gourgaud, y refutación de al gunas aserciones de otros escritQS concernientes á la batalla de Waterloo: por ei conde de Grouchi. Un tomo en 8.° que se halla de venta en la librería de Chamnerót el jó.ven &gt; á dos francos y dos céntimos^</t>
  </si>
  <si>
    <t>GouriefF</t>
  </si>
  <si>
    <t>…ndientes de él , hemos venido en mandar que desde el día 15 de Agosto próximo se abra el dicho puerto franco de Odessa conforme á los reglamentos enunciados en el edicto.=rFirmado.D. GouriefF, ministro de Hacienda. ALEMANIA. Uamburgo 24 de Agosta. Todos los dias hay aquí continuas pendencias con los judíos ; y si alguno se atreve á presentarse en ios paseos públicos ó en los cafés, frecuentados por lós Vetónos cristianos, da siempre ocasión á algú…</t>
  </si>
  <si>
    <t>Gouvion-Saint-Gyr</t>
  </si>
  <si>
    <t>…dos puntos intermedios, muy distantes uno de otro, entre el estrecho de Behring y la^bahía de Baffin. ; FRANCIA. . Strasburgo 27 de Mayo. Para la semana próxima aguardamos aquí al mariscal Gouvion-Saint-Gyr, ministro de Guerra , que según dicen se-detendrá algunos dias, y se dirigi rá luego á Bohemia. Ha pasado por esta ciudad , con dirección á Roma por Suiza, el barón de Rheden, que va de ministro del Gobierno hannoveriano cerca de la Santa Sede, para seguir Ja…</t>
  </si>
  <si>
    <t>Goya, Francisco</t>
  </si>
  <si>
    <t>Francisco Goya</t>
  </si>
  <si>
    <t>…ba la muerte de Lucrecia^ pinta do por D. Josef Madrazo, un S, Fernando para la capilla defcanal por Don Zacarías Veíazquez, y diversos retratos .hechos por D. Josef Aparicio, por D. Francisco Goya, por D. Luis Cruz y Ríos, por D. Rafael Tege, joven de 20 años, discípulo de la academia, de quien eran igualmente otros dos cuadros originales; y habia&lt;también varias copias de algunas buenas obras de nuestros antiguos pintores'hechas por D. Francisco Garraf…</t>
  </si>
  <si>
    <t>Goyeneche, Josef Sebastian de</t>
  </si>
  <si>
    <t>Josef Sebastian de Goyeneche</t>
  </si>
  <si>
    <t>…sa Gastón de Apodaca; Doña María Salazar Alvarez de Toledo, y marquesa viuda de Váidecarzana. : • ; * Grandes cruces de Id orden Americana, .• v 1 El cardenal arzobispo de Toledo; D. Josef Sebastian de Goyeneche, obis po de Arequipa; D. Baltasar Hidalgo de Cisneros; D. Carlos Urrutia, capi tán general de Goatemala; el teniente general D. Josef de Bustámante, y el mariscal de campo D. Pascual Liñañ. Comendadores de la misma, D. Ignacio Adalid Gómez de Pedroso, vecino…</t>
  </si>
  <si>
    <t>Goyeneche, Pedro Mariano de</t>
  </si>
  <si>
    <t>Pedro Mariano de Goyeneche</t>
  </si>
  <si>
    <t>…00 idem........... En Cádiz. 7121 1000 idein........... - En Zamora. ARTICULO DE OFICIO. El Rey nuestro Señor, en consideración á los distinguidos servicios y quebrantada salud de D. Pedro Mariano de Goyeneche, caballero del orden de S. Juan, y oidor de la Real audiencia de Lima, ha tenido á bien conce derle su retiro con las dos terceras partes del sueldo de su plaza, y honores de la Cámara de Indias: asimismo se ha dignado nombrar para eí corregi miento de Tunja,…</t>
  </si>
  <si>
    <t>Gracia, Cristóbal de</t>
  </si>
  <si>
    <t>Cristóbal de Gracia</t>
  </si>
  <si>
    <t>…rimero instituyó D, Ramiro de Zavalza.y Labrit, citan y emplazan por el presente á los sacerdotes, ó que esten próximos á ordenarse de misa*? y tengan parentesco mas inmediato con D. Cristóbal de Gracia, difunto, y su hija Doña Antonia, llamados á dos memorias de misas que se hallan vacantes dotadas* con 150 ducados anuales y cinco misas cada semana en dicho convento de Ja Santí sima Trinidad en los días que señala la fundación, para que en ei término de 30…</t>
  </si>
  <si>
    <t>Gracia, Francisco</t>
  </si>
  <si>
    <t>Francisco Gracia</t>
  </si>
  <si>
    <t>…del Montijo 320. Núni&gt;y.jo. Don N. 88 rs. y 24 mrs. Núm. 511. D. N. 110 rs. y 20 mrs. Núm. 51 2. Doña Cristina Gómez 60. Núm 513. D. Y. A. R. 60. Núm, &lt; 14. D. N. 20. Nú mero 515. D. Francisco Gracia i dignidad maestrescuela de la catedral de Cuen</t>
  </si>
  <si>
    <t>Graham</t>
  </si>
  <si>
    <t>…ición con los restantes infiere el Courier que no puede menos de ser racional el plan que se ha propuesto. El dia 25 desembarcó en Douvres el embajador de Persia. Dos eunucos y el teniente Graham acompañaban á la circasiana, la cual tenia cubierta Ja ca beza con un capuchoy tapado el rosto hasta las megillas con un chal ancho de seda. Inmediatamente tomaron el coche, y acudió á verlos desembarcar un gentío inmenso. La artillería del puerto hizo el aco…</t>
  </si>
  <si>
    <t>Gravina</t>
  </si>
  <si>
    <t>…y háceir ca pitular á la guarnieron del fuerte Delfín, su población:y puerto. En el de 94 ascendió á brigadier, y obtenido el mando del navio o. Rafaél\én".i805 en la escuadra del general Gravina, se halló en el combate del cato de Flnisterre contra el almirante Caldes, en el que no solo ,se distintió, sino que fue herido gravemente. Seguidamente, y promovido a gefe de escuadra, sé le nom bró gobernador é intendente de Cartagena de Indias coi}. Ja sub…</t>
  </si>
  <si>
    <t>Gray</t>
  </si>
  <si>
    <t>…otros agiotistas insis ten en que el Gobierno se verá en la precisión de pedir un empréstito; pero confiamos que no tendrá necesidad de ello. Por noticias que se han recibido del capitán Gray, gefe de una expedición destinada á hacer descubrimientos en el interior de Africa, se sabe que el i.° de Noviembre último se hallaba en el país de Penden, y que 15 dias después pasó al de los seracoletos, donde el bergantín de guerra francés el Argos le habí…</t>
  </si>
  <si>
    <t>Gráztañaga, Martin de</t>
  </si>
  <si>
    <t>Martin de Gráztañaga</t>
  </si>
  <si>
    <t>…mero que egerce D. Juan Raya. ( , • ;.. En virtud de providencia de. los Sres. dél Consejo de 25 de Febrero próximo, mandada guardar y cumplir por el señor alcalde de Casa y Corte D. Martin de Gráztañaga, se ha mandado se publique por ocho dias mas la venta en pública subasta dé 175 fanegas de tierra en diferentes pedazos, y una casa existente esta en la villa Aravacá, y aquéllas en los términos de la misma, la de Húmera, Pozuelo de1 Aláréqú y Majadahonda , p…</t>
  </si>
  <si>
    <t>Gregorio</t>
  </si>
  <si>
    <t>…ado poseía D. Patricio López de Osaba, músico tenor de ella, ei cual fue sacado para el servicio de las armas en fin de Setiembre de 1808 al mando del Ex celentísimo señor Capitán general D. Gregorio de la Cuesta, sin que á pesar del lar go espacio de tiempo que ha mediado, y de las muchas y exquisitas diligencias que se han practicado asi por el limo. Cabildo de la referida santa iglesia, como por Don Basilio López de Osaba, padre de dicho capellán, veci…</t>
  </si>
  <si>
    <t>Gregorio, Francisco</t>
  </si>
  <si>
    <t>Francisco Gregorio</t>
  </si>
  <si>
    <t>…n las provincias encasado los principales libreros, 'pagándose un real mas por razón de portes. . Colección de todos los epigramas y demás poesías críticas, satíricas y jocosas de D. Francisco Gregorio de.Salas: un tomo en 11,* Scrja inoportuno recomendar unas obras qué lo están con solo el nombre del autor; el buen acogimiento qué han naerécido'siempre en'él público lo acreditan las repetidas ediciones que se han hééhójde muchas de ellas* Se hallará en la…</t>
  </si>
  <si>
    <t>Gregorio, Joaquín</t>
  </si>
  <si>
    <t>Joaquín Gregorio</t>
  </si>
  <si>
    <t>…a&lt;a-Calderon &gt; alcalde dei Crimen en Lima; D. Antonio Picardo, Vecino de Cádiz ; D. Baltasar de Represé, comisario “de .guerra; D. Josef María Cón¿ de Salazar, regidor de Córdoba; D. Joaquín Gregorio deGoycoa, vecino de S. Sebastian; D. Josef Campo y'Soler, cónsul general y comisario en SierraLeona ; D. Felipe Patdo y García , prebendado en Segovia ; D. Manuel Fidalgo, intendente de Zamora; el conde de Calatrava', gentilhombre de Cámara; Dbn Esteban Asta,…</t>
  </si>
  <si>
    <t>Grenville</t>
  </si>
  <si>
    <t>…tuvo con refíexipues muy sólidas las providen cias que había propuesto lofd Harrowby. El: marques de Lansdown se agre gó al parecer del ministro; y después de varios, discursos de lord Grenville y otros individuos del partido de la oposición, se desecharon sin pasar á vota ción las medidas propuestas pot lord &gt;bauderdale;y fueron adoptadas las de lord Harrowby,, casi por unaulmidadj, sin mas que dos ó tres votos en con trario. r: '.■■•V. - :':‘r ' .…</t>
  </si>
  <si>
    <t>Grijalba, Juan Miguel</t>
  </si>
  <si>
    <t>Juan Miguel Grijalba</t>
  </si>
  <si>
    <t>…da su lectura, D. Luis Beldrof, con un ayuda del Real guardamuebles, pusie ron delante del Rey nuestro Señor otra mesa, que estaba prevenida, y firmó S. M., sirviéndole el tintero D. Juan Miguel Grijalba, ayuda de Cámara de S. M., su secretario de Cámara. Debajo de la firma de S. M. pusieron las su yas por su órden los Sermos. Sres. Infantes D. Cárlos María, Doña María Francisca de Asís, D. Frqiftápqp/iq Pau^^rípopa Luiga Carlota, llevándoles</t>
  </si>
  <si>
    <t>Grimoult</t>
  </si>
  <si>
    <t>…o el ministro del Interior, han informado á S. E. que todos convienen en que el mejor modo de sujetar.á un caballo es vendarle los ojos1, y que la especie de brida inyentadapor el Sr. Grimoult, ademas sprjnuy</t>
  </si>
  <si>
    <t>Gskano, Juan Josef</t>
  </si>
  <si>
    <t>Juan Josef Gskano</t>
  </si>
  <si>
    <t>y enterarse de"Jos planos yv condiciones, acuda ante el"alcalde fnayor déla misma viíla, y-escribanía del (número y ayúntárniéntó D. Juan Josef Gskano... pues su-remate está señalado y se ha de celebrar en la audiencia de dicho señor y hora de las ío d$i la mañana el día, 2g(fdeicorriente. s ' . * En virtud de providencia del; Sr. D. Manuel Josef Rubio, del Consejo de S. teniente corregidor; de esta muy her…</t>
  </si>
  <si>
    <t>Guarnan, Francisco</t>
  </si>
  <si>
    <t>Francisco Guarnan</t>
  </si>
  <si>
    <t>…cantón de Chaguaramal D. Hilario Torralba, y los capitanes D. Julián Matos y D. Josef Ga briel Hernández , como también el bizarro capitán comandante de las mili cias de S. Mateo D. Francisco Guarnan, y el teniente de dicho cuerpo Don AntonioZambrano. Juzgo merecedores á las gracias de V. E. á los sargentos primeros del batallón de la Reina Blas López y Pedro Bermudez, y á los segundos, que fueron heridos en la acción, Antonio Franco y Raimundo Nuñez; á l…</t>
  </si>
  <si>
    <t>Gudál, Pedro</t>
  </si>
  <si>
    <t>Pedro Gudál</t>
  </si>
  <si>
    <t>…iedad eñ el Séloii de sus sesiones, se presentaron los ocho alumnos mas so bresalientes de la cátedra, que fderori DJBefiito Ferrandez, D. Santiago Te jada, D. Ange{ Valero Sardi, D. Pedro Gudál, D. Pedro Antonio Pallete, D. Juan María, BiecyD. Pedro Nogues Secall, y D. Anacleto Toron y Dolz. El catedrático del establecimiento D. Agustín Alcaide dio principio al acto, manifestando la necesidad del estudió de la economía, de que tan penetrada se halla…</t>
  </si>
  <si>
    <t>Guerra</t>
  </si>
  <si>
    <t>…Qon fecha 3iLdeI mismo Agosto me avisa elcapitan D. Mariano Mendizabal,; que habiendoqu.edada&gt;CQOipiact¿ de sncompanía en el pueblo»de Arque du-&gt; rante la anterior expedición del comandante Guerra, noticioso de que en el anejiOrde)Sica^d 'sé*hallabael'jc^diliói'íMam&amp;ni; salió'irlas ocho^ de.la liiche contarte ¿d© sti génífeny algtnip&amp;3se.cmó££ y logró sorprenderlos^ hacienda ^G)piloneros , inclusos: 2; fcapitanesV que serán, conducidos á esta ciudad j…</t>
  </si>
  <si>
    <t>Guerra, Fernando</t>
  </si>
  <si>
    <t>Fernando Guerra</t>
  </si>
  <si>
    <t>…y Ortega, D. Gregorio Aso Travieso, D. Mariano Fernan dez Tejeiro, D Bartolomé ,Gil de Padilla, D. Francisco Ugarte y Epalza, D. Jo«ef Ibañez y Ortega, D. Joaquín Gutiérrez Peña, D. Fernando Guerra de la Vega y Callantes7, D. Josef Gómez y Quintana, D Manuel JLoigorrj y González, y el soldado distinguido-D..Deogracias Salinas,.se ha servido,con cederles grado de subtenientes de infantería. Siendo grata al Rey nuestro Señor la memoria de la lealtad y ser…</t>
  </si>
  <si>
    <t>Guerra, Joaquín</t>
  </si>
  <si>
    <t>Joaquín Guerra</t>
  </si>
  <si>
    <t>…o Ber- . mudez, á quien se hallan endosados, últimamente tres vales Reales de 600 pesos,1 creación de i.° de Enero dé 1808, señalados con los números 376,846, 375,382 y 376,770: á D. Joaquín Guerra, á los señores viuda de Nolivos, Campo y compa ñíaá D. Martin Monzon,á Doña Francisca Cadenas, i D. Guillermo Metnbiela, ádX Francisco López de las Herrerías y áJD. Rafael Goirí , ¿ quienes .también se hallan, eindbsados respectivamente nueve vales Reales de…</t>
  </si>
  <si>
    <t>Guerra, Juan Alvarez</t>
  </si>
  <si>
    <t>Juan Alvarez Guerra</t>
  </si>
  <si>
    <t>…cuando se hay^i^er;» continuar se anunciará por un nuevo prospecto en este periódico. ¿ Trillo económico inventado por £&gt;,. Andrés Herrarte.^ Correcciones al trillo in ventado por D. Juan Alvarez Guerra, egecutadas por D. Juan Francisco Gutiér rez. = Descripción y diseño de una sembradera inventada por D. Antonio Regas. zz Estos tres trataditos, premiados y publicados por la¡ Real sociedad, ecohófiiiéa de" Valladolid ^ proporcionan al labrador la mayor econo…</t>
  </si>
  <si>
    <t>Guerra, Manuel</t>
  </si>
  <si>
    <t>Manuel Guerra</t>
  </si>
  <si>
    <t>…. J. IX. 60. Núm. 84. D. Josef de Urue 4 Núm. 85. D. Gregorio Sánchez Madrid iox Núm. 86. D. Y. M. M. 100. Núm. 87. D. Francisco Antonio Bringas 2©. Núm. 88. D. C. R. 20. Núm. 89. D. Manuel Guerra 200. Núm, 90. D. I. de V. 160. Núm, 91* D N. 80. Núm. 92. D. J. M. 320. Núm. 93. D. M. T. 300. Núm. 94. D. C. R. 2co. Núm". 95. D. Juan Carretero 200. Núm. 96. La Real corpo ración de capellanes de honor 6©. Núm. 97. Agueda Moreno, viuda, 20. Nú mero 98. D. T…</t>
  </si>
  <si>
    <t>Guerrero, Antonio</t>
  </si>
  <si>
    <t>Antonio Guerrero</t>
  </si>
  <si>
    <t>…regas de la galería teatral. Retrato de la Reina nuestra.Señora Doña Ma&amp;xa Josefa Amalia, copiado del cuadro original remitido á S. M.; dedicado al Rey nuestro Señor; dibujado por Don Antonio Guerrero, y grabado por D. Francisco Suria, con el permiso de la Real acadeiriia de S. Fernando, en cuartilla de marca mayor. Se vende iluminado á 10 rs. y en negro á 6 en el almacén de estampas de la calle Mayor, frente á la cas* del conde de Qnate, y en la librería…</t>
  </si>
  <si>
    <t>Guerrero, Josef</t>
  </si>
  <si>
    <t>Josef Guerrero</t>
  </si>
  <si>
    <t>…nia, escapado de Mariicuare; que los enemigos con sus flecheras habían des embarcado en Araya, y qúe quedaban én dicho punto, de donde se había fugado. En el momento mandé venir á D. Josef Guerrero, y le dije: las'flecheras enemigas están en punta de Araya , vamos á salir; y dándole 80 solda dos de los cuerpos de la guarnición, con aquella actividad que es tan caracte rística en D. Josef Guerrero, mayormente cuando se trata de ir contra el ene migo, tod…</t>
  </si>
  <si>
    <t>Guerrero, Josef León Lobo</t>
  </si>
  <si>
    <t>Josef León Lobo Guerrero</t>
  </si>
  <si>
    <t>…Joaquín de Labarrieta, del comercio de Cádiz, recibe por el navio de guerra «Asia, maestre D. Jfosef Antonio Micheo, cierta cantidad de pesos, para que en re presentación del Dr. D. Josef León Lobo Guerrero, doctoral de la santa iglesia de .Monterey, la entregue á los hijos de Doña Francisca Marín, casada que fue con Don Manuel García Puente en la villa de. Tamaron; á los hijos de Doña Gabriela Ma rín, casada con D. Gaspar de Navas Márañon en la villa'1 de Celad…</t>
  </si>
  <si>
    <t>Guerrero, Pedro Panas y Di Josef</t>
  </si>
  <si>
    <t>Pedro Panas y Di Josef Guerrero</t>
  </si>
  <si>
    <t>…io Martinezj í). Antohio dé Toares, D. Antonio Castillo , D. Martin deTJbéda, D. Rafael de Almagró, D¿ Ramón de Óríiz, D. Josef Cañada, D. Sacerdote Aguilar, D. Agustín de Ortega, D. Pedro Panas y Di Josef Guerrero por'la instrucción y adelantamientos de cada uno de ¿estos alumnos en la parte que profesan ,'y énseñañká que reciben- de sus maestros el presbítero D: Joser Garcíá Llará ,''íhdlvidtíó de este Real cuerpo, y D.. Cristóbal'Guerrero:’ Estoá almbnós "fúéroh prem…</t>
  </si>
  <si>
    <t>Guevara, Francisco Rodríguez de</t>
  </si>
  <si>
    <t>Francisco Rodríguez de Guevara</t>
  </si>
  <si>
    <t>…ico, arquitecto y aficionados á toda clase de ciencias y literatura. Epítome de gramática castellana dividida en sus cuatro partes: cuadernito en 8.® contenido en- 4.2 páginas por D. Francisco Rodríguez de Guevara. Se halla en la li brería de Sanz, calle de las Carretas, á 2 rs. Colección de muestras para aprender á escribir el carácter bastardo, compuesta de 14 láminas por el orden y método mas sencillo que prescribe la enseñanza, es critas por D. Josef Hermenegildo d…</t>
  </si>
  <si>
    <t>Guevara, Vieeríta' Ladrón de</t>
  </si>
  <si>
    <t>Vieeríta' Ladrón de Guevara</t>
  </si>
  <si>
    <t>…cuela del barrio de S. Luis: Doña Juana del Cano\ discípula de ^ Real escuela del barrio dé S. Pascual: Doña María Perore, discípula de la RééL escuela del barrio de Trinitarias f Doña Vieeríta' Ladrón de Guevara,</t>
  </si>
  <si>
    <t>Guiífort</t>
  </si>
  <si>
    <t>…s islas Jónicas. Desdé Ariconá pásara4 Roma pata tratar de una es-i pécie de cbncdrdato ^ relátivo? ál: éíerb^atitip- dé los Estados-Unidos Jónicos, negociación en qúe éntendío el conde Guiífort* encargado que fue al efecto por el Príncipe Regente de Inglaterra- - : POLONIA. • Varsavia di de Junio. .. Ayer se celebró el aniversario del día en qué se proclamó la erección deí nuevo reino de Polonia r toda iar guarnición se püsó'sobre las amias, v se ca…</t>
  </si>
  <si>
    <t>Guilfqrt</t>
  </si>
  <si>
    <t>…, 'to oía mucho tiempo *que los griegos de estas isias^ espertan Hjue se estableciese en su patria una universidad^ y ya han logrado este beneficio á impulsosdel ilustrado celo de lord Guilfqrt (conocido anteriormente por 'Mr. North , nie to del célebre ministro de esteoombrp) y qúién xeocargadó pbr ^Gobierno ¡in gles de la formación de la universidad, lia procedida A ia provisión dé todas lás cátedras^ eligiendo para'éllasjgriegosádel tméfiiójmas^p…</t>
  </si>
  <si>
    <t>Guilleminot</t>
  </si>
  <si>
    <t>…do de Badén* con la mejor armonía y sin disputa al guna. La Francia va á tratar inmediatamente de fijar los límites con la Prusia y la Baviera, cuya operación será dirigida por el conde Guilleminot. Es po sible que se encuentren algunas dificultades en su egecucion, sobre todo en* aquellas partes montañosas donde ningún rio puede servir para separar los dos países confinantes. _ AUSTRIA. Viena 16 de Diciembre, Ayer llegaron de Munich á esta capital Mr.…</t>
  </si>
  <si>
    <t>Guillen, Mariano</t>
  </si>
  <si>
    <t>Mariano Guillen</t>
  </si>
  <si>
    <t>…ópez, y que se me reuniese la compañía de caba llería de S. Luís y las compañías tercera y quinta del batallón del Sur, las qpe llegadas dispuse que saliesen conmigo, al.mando del teniente D. Mariano Guillen , y los fieles del Potpsí por el centro, por la derecha el alférez Don Antonio Rodríguez con su caballería, y por la izquierda el capitán graduado D. Ignacio Prieto, para que-cortados los enemigos por está caballería, pu diese la infantería obrar con libertad…</t>
  </si>
  <si>
    <t>Guindo, María Francisca Velez de Calera y</t>
  </si>
  <si>
    <t>María Francisca Velez de Calera y Guindo</t>
  </si>
  <si>
    <t>…D. Vaidomero Moraíeda; previniéndose está hecha postura en la cantidad de 28,730 rs. vn. metálicos con varias condiciones. ' Habiendo fallecido en la ciudad de Orduña sin sucesión Doña María Francisca Velez de Calera y Guindo, viuda de D. Santiago de Bañuelos, y poseedora del vín culo fundado por Catalina de Urieta, sus testamentarios residentes en la misma lo avisan al público, para qué las personas qué se contemplasen con derecho al expre sado vínculo y demas bienes que hubiese…</t>
  </si>
  <si>
    <t>Guio, Felipe</t>
  </si>
  <si>
    <t>Felipe Guio</t>
  </si>
  <si>
    <t>…co, cura de Santiago y S. Juan, y abad del cabildo; D. Juan Antonio Salcedo, cura de S. Ginés, decano; D. Domingo Alvarez,. beneficiado propio de Santiago y S. Juan, archivero; y. D. Felipe Guio, cura de S. Andrés, secretario; de los cuales el primero arengó á S. M. en los términos siguientes: Señor: ,,El cabildo de curas y beneficiados de esta vuestra heroica villa y corte nos ha dado el encargo tan honroso como agradable para nosotros de felicitar…</t>
  </si>
  <si>
    <t>Gullforr</t>
  </si>
  <si>
    <t>…lia procedida A ia provisión dé todas lás cátedras^ eligiendo para'éllasjgriegosádel tméfiiójmas^pimcnte. j Entre, hwque anas eficazmente han contribuido á realizar los deseos de lord Gullforr debe hacerse ¡especial mención del conde dé Capo de Istria , natural de Corfú, quien conociendo que el mejor servicio quepodia hacer á-su patria era mu'ltípficaríias Fuentes dp da instrucción pública-, facilitando iá^süs: coiu pa triotas Ios-medios dé adquiri…</t>
  </si>
  <si>
    <t>Gundian, Josef Ferrer y</t>
  </si>
  <si>
    <t>Josef Ferrer y Gundian</t>
  </si>
  <si>
    <t>…e-: liberaba sobre la adjudicación de premios, y concluida el señor alcalde pro clamó los alumnos que habían sido premiados, y son los.siguientes: ciases. Lectura, primer premio á D. Josef Ferrer y Gundian. Escritura, primero á D. Josef María de Landa. Cuentas de enteros y quebrados, primero á Don Claudio Domingo de Ochoa. Doctrina de Fleuri, primero á D, Felipe Barto lomé de Ibárrola. Idem de Astete, primero á D. Vicente de Artiñano. Fá bulas de Samaniego, pri…</t>
  </si>
  <si>
    <t>Guseme, Ignacio</t>
  </si>
  <si>
    <t>Ignacio Guseme</t>
  </si>
  <si>
    <t>…. Oidor de la Real audiencia de Sevilla. A D. Alvaro Pareja, oficial de la,, secretaría de Estado y del Despacho de Gracia y Justicia de Indias. Alcalde de i Crimen de la misma. A D. Ignacio Guseme, alcalde del Crimen de la chancillería de Granada. HONORES DE ALCALDES DEL CRIMEN DE LAS CHANCILLERIAS Y AUDIENCIAS. De la chancillería de Valíadalid. A D. Josef Tagte Bustamante, asesor del Real sitio de Aran juez; Don Francisco María Sánchez Castilla, corre…</t>
  </si>
  <si>
    <t>Gustawson</t>
  </si>
  <si>
    <t>…er &amp;e. Se ha publicado la lista de las personas a quienes ha concedido la ciudad deBasilea los derechos de ciudadanos: eñtre 15 éxtrangeros que comprende se hallan los nombres del coronel Gustawson (el .ex-Reyide Suecia)**y-el librero Neukirch de Colmar. Lausana I I de Octuple. Acaba de participar á la Confederación suiza el Gobierno del gran'ducado de Badén, que en vista de las muchas deserciones que se notan dé los reclutas destinados á completar los…</t>
  </si>
  <si>
    <t>Gutiér, Juan Francisco</t>
  </si>
  <si>
    <t>Juan Francisco Gutiér</t>
  </si>
  <si>
    <t>…iará por un nuevo prospecto en este periódico. ¿ Trillo económico inventado por £&gt;,. Andrés Herrarte.^ Correcciones al trillo in ventado por D. Juan Alvarez Guerra, egecutadas por D. Juan Francisco Gutiér rez. = Descripción y diseño de una sembradera inventada por D. Antonio Regas. zz Estos tres trataditos, premiados y publicados por la¡ Real sociedad, ecohófiiiéa de" Valladolid ^ proporcionan al labrador la mayor economía y otras incalculables ven tajas eñ la…</t>
  </si>
  <si>
    <t>Gutiérrez, Bernardo</t>
  </si>
  <si>
    <t>Bernardo Gutiérrez</t>
  </si>
  <si>
    <t>…cisco Xavier Velasco, en virtud de mis prevenciones para que obrasen con actividad y en combinación con las tropas de Arque, con fecha del 8 me avi san que el teniente de milicias D. Bernardo Gutiérrez, encargado de una pe queña fuerza para guardar el punto de Torotoro, sostuvo un encuentro con los caudillos Curito, Hinpjosa y Pozo sin embargo de la superioridad de es tos , y logró rechazarlos con bastante perdida y muerte de uno de sus prin cipales gefes ,…</t>
  </si>
  <si>
    <t>Gutiérrez, Josef Marcos</t>
  </si>
  <si>
    <t>Josef Marcos Gutiérrez</t>
  </si>
  <si>
    <t>…ibrería de Castillo, frente , á S. Felipe el Real: su precio 3 rs. Cuaresma , pláticas morales y panegíricos del jesuíta D. Gerónimo Trento, tra ducidos del toscano al español por D. Josef Marcos Gutiérrez , abogado de los Rea les Consejos: el mérito de dicha obra lo acredita su despacho ; está dividida en cuatro tomos, en pasta 64 rs. y en pergamino 48. Se halla venal, en la librería de Castillo, frente á S. Felipe «1 Real. Minerva ó el Revisor general: trimes…</t>
  </si>
  <si>
    <t>Gutiérrez, Juan</t>
  </si>
  <si>
    <t>Juan Gutiérrez</t>
  </si>
  <si>
    <t>…el Br. D. Tadeo de- la Vega, catedrático de dicha dase, alusivo á las circunstancias. En se guida se presentaron los alumnos D. Antonio Moyano-, D. Domingo Ortiz, D. Josef Murien, D. Juan Gutiérrez, D. León Coro y D. Josef Bermudez?. á quienes por orden se abrió á la suerte cada uno de los tres tomos de la co lección de autores de D. Pablo Lozano, donde por largo espacio hicieron una libre versión á nuestro idioma con tanta destreza, que dejaron satisfe…</t>
  </si>
  <si>
    <t>Gutiérrez, Manuel María</t>
  </si>
  <si>
    <t>Manuel María Gutiérrez</t>
  </si>
  <si>
    <t>…utista Say, que en el acto de- la instalación de las dos cátedras de economía y, comercio,dijo en Málaga el.dia 27 de Marzo de 1818 en ei salón del Real tribunal, del consulado su profesor D. Manuel María Gutiérrez. Ha biéndose establecido de Real orden la cátedra de economía en esta ciudad, y siendo generalmente desconocidos sus principios, eí autor creyó que lo mas conveniente era presentar en grande los sencillos y luminosos principios de la ciencia demostrados po* M…</t>
  </si>
  <si>
    <t>Gutiérrez, Pedro Josef</t>
  </si>
  <si>
    <t>Pedro Josef Gutiérrez</t>
  </si>
  <si>
    <t>…l parte que acompaño se impondrá V. E. de los felices resultados de esta jornada, como tambien dei buen éxito que han logrado en sus tentativas el coronel D¿ Francisco Ostrja y eL capitán D. Pedro Josef Gutiérrez,? comisionados * al mismo tiempo , de cuyos¡ partes también acompaño á V. E. copia. - f - &gt; 1! &lt; /ir r *, - ; r ; ; ';r. ! ,, En está provincia no se descansa para conseguid el exterminio de cuantos rebeldes pisen su terreno , y lo mismo se hace en las inmedi…</t>
  </si>
  <si>
    <t>Gutiérrez, Servando Angel</t>
  </si>
  <si>
    <t>Servando Angel Gutiérrez</t>
  </si>
  <si>
    <t>…do y del Despacho universal, hizo la entrega de los Reales féretros á la antigua y noble guardia de los monteros de Espinosa y sus indi-* yiduos D: Pedro Manuel Sainz de' la'Maza, D. Servando Angel Gutiérrez d.e Solana, D. Marcelino Antonio de Rada, D- Bernardino del Arenal, D. Die go de Villasante, D Francisco dé la Maza, D. Anacleto de Rueda y Pon Juan Neppmuceno Cobo* , En' la ñoéhe del mismo día cantaron responsos á los Reales cadáveres loa clérigos de; iá. p…</t>
  </si>
  <si>
    <t>Gutiérrezp, Josef</t>
  </si>
  <si>
    <t>Josef Gutiérrezp</t>
  </si>
  <si>
    <t>…artínez. En la segunda D* Ignacio Várela , D. MañuefRodríguez Campo , D; Manuel-García, D. Pedro Ochoa, D. Francisco Herrera, D. Joaquín Meana .y D. Miguel Arrimada. En la tercera D. Josef Gutiérrezp. Carlos Santo,- D. Sebastián Romero, D. Antonio Medinilla, D. Juan Meáha y D. Francisco Bragne. En la cuarta y última D. Federico Rodríguez Campo, D. Josef Maurelles, P. Sebastian Ximenez, D. Josef Alvarez, D. Bernardíno Marru^mñ .y D. Luis" Alvarez. ... . Sa…</t>
  </si>
  <si>
    <t>Guzman, Angel María de</t>
  </si>
  <si>
    <t>Angel María de Guzman</t>
  </si>
  <si>
    <t>…estranza D. Francisco Chacón Carrillo de Albor noz, sumiller de cortina y oratorio de S. M., D. Manuel del Campo de la Vega i cánónigos de la-metropolitana y patriarcal iglesia, y D. Angel María de Guzman, racionero de la misma. Fue el orador el R. P. Mtro. y Dr. Fr. Josef Govea y Agreda, del orden de S. Agustín. FueTnmehsó el concurso de las personas de la primera gerarquía y vecin dario de esta capital, y universal el sentimiento con que el público expresó -…</t>
  </si>
  <si>
    <t>Guzman, Josef Alonso de</t>
  </si>
  <si>
    <t>Josef Alonso de Guzman</t>
  </si>
  <si>
    <t>…cha villa Juan Martin. 18. Papeles pertenecientes á un oficio de procurador de los Reales Conse jos, que sirvió Francisco López Iglesias. 19. Escritura de convenio otorgada entre D. Josef Alonso de Guzman, clérigo, presbítero beneficiado en la villa de Poza, y capellán de la que dotó y fundó Magdalena Perez de Arroyueló, viuda de Bernardo de Acdobro, y D. Juan Cantón, para que puedan ser los dos compatronos, y en pos cíe uno y otro los sucesores y poseedores d…</t>
  </si>
  <si>
    <t>Guzman, Juana'de Velasco de</t>
  </si>
  <si>
    <t>Juana'de Velasco de Guzman</t>
  </si>
  <si>
    <t>…títulos que se hallan en el archivo de procuradores. 3.0 Hijuela de lo que se le adjudicó á la Sra. Doña Frfncisca Henrique de Velasco en la partición de bienes de la Excma. Sra. Doña Juana'de Velasco de Guzman, marquesa de Alcáñizas, su madre, para él pago de deudas y otros legados, la cual está autorizada por el escribano Francisco Isidro de León en 27 de Agosto'de 1691. 4.0 Papeles pertenecientes á D. Alonso González de la Mesguita- sobre ser vicios en la. Real a…</t>
  </si>
  <si>
    <t>Guzman, Rafael</t>
  </si>
  <si>
    <t>Rafael Guzman</t>
  </si>
  <si>
    <t>…El señor cura cíe S. Ginés, por limosnas que le han entregado algu nos feligreses, 212. Núm. 53. D. Esteban Morales 40. Núm. 54. D. Q. B. H. 500. Núm. 55. Doña G. C. 40. Núm. 56. D. Rafael Guzman 10. Nú-</t>
  </si>
  <si>
    <t>Guzman, Valentín</t>
  </si>
  <si>
    <t>Valentín Guzman</t>
  </si>
  <si>
    <t>661</t>
  </si>
  <si>
    <t>…rte anterior. ,,Mi querido La-Roque: Ha terminado toda, la rebelión de tierra calien te, y han sido indultados todos los cabecillas con sus partidas. Anoche entró, aquí lberri con D. Valentín Guzman, y el-día de ayer Cenobio con co hom bres; Manuel Salvador y el resto de esta gente con todos los rancheros de las orillas del rio y los de Solayapan están presentándose, por lo que no puedo separarme, hasta que el general disponga el orden en que ha de queda…</t>
  </si>
  <si>
    <t>Guzriiany, Josef de Andrés y</t>
  </si>
  <si>
    <t>Josef de Andrés y Guzriiany</t>
  </si>
  <si>
    <t>…stió.Roldad), intendente i de Marina -del departramenta. deli Ferrol,‘y í‘ Don Antonio González Salmón, intendente honorario de egéreitof. • r, '. ^ Honores secretarios del Rey. A D. Josef de Andrés y Guzriiany D. Francisco de Vargas, oficiales eüartoly quihto.de la secretaría del Consejo supremé» de la’.Guerra,ry á Don tornan Lorenzo Calvo, escribano de Cámara del mismo tribunal. f ^ Por el Ministerio de Guerra se!ha circulado la Real orden siguiente: ,,Con motivo de haber nombrado el Re…</t>
  </si>
  <si>
    <t>Gyr, Guvion de Str</t>
  </si>
  <si>
    <t>Guvion de Str Gyr</t>
  </si>
  <si>
    <t>…sola no da título j ' ■ Ore;&gt;í * . - i Habla el orador con lbsl‘oficiales y sargentos que j fueron á instruirse en la es cuela--normal-' • retí ■. ; t - / • ;-o; \ % Discurso del mariscal Guvion de Str Gyr sobse ladey del reemplazo del egército.</t>
  </si>
  <si>
    <t>H, A. M.</t>
  </si>
  <si>
    <t>A. M. H</t>
  </si>
  <si>
    <t>…rtin de Madrid, por limos nas 'recibidas de los feligreses de dicha parroquia, 1882. Núm. 120. D. Lo renzo Ximenez 60. Núm. 127. Doña N. 4. Núm. 128. D. Josef Galvez 12. Núm. 129. D. A. M. H. 100. Núm. 130. D. N. 20. Núm. 131. El señor cura de S. Justo y S. Miguel de Madrid,, por limosnas recibidas de sus feligreses, 1670. Núm. 132. Un farmacéutico 300. Núm. t33. D. R. S. 440. Núme ro 134. D. N. 40. Núm. 135. Doña R. B. 20. Núm. 136. D. Evaristo V…</t>
  </si>
  <si>
    <t>H, G</t>
  </si>
  <si>
    <t>G H</t>
  </si>
  <si>
    <t>…ban, obispo de Jaén, 2®. Núm. 496. Ei colegio de Madrid, de escribanos notarios de los reinos, á nombre de todos sus individuos, i®. Núm. 497;J30n J. A. 66 rs. y 18 mrs. Núm. 478. D. G H. 20. Núm. 499. D. Francisco» Xavier Givert 100. Núm. 500. D. Ignacio Ximenez y Jarauta 20. Núm. 501. El contador y oficiales de la contaduría general de rentas decimales del reino' 880. Núm. 502. D. Fernando del Río y Mateo, de menor edad, guardia de la Per-so…</t>
  </si>
  <si>
    <t>H, J.</t>
  </si>
  <si>
    <t>J. H</t>
  </si>
  <si>
    <t>…N. 133. Núm. ió$. Pablo de la Cuesta 10. Núm. 166. D. Josef María de Pando 500. Núm. 167. D. K. Z. 20. Núm. 168. D. J. J, J. 332 rs. y 32 mrs. Núme ro 169. D. M. P. 20. Núm. 170. D. J. H. 120. Núm. 171. Doña M. B. iock N úm. 172. D. N. 20. Núm. 173. D. Cristóbal Sorribas 4a. Núm. 174. Doña Eusebia de N. 20. Núm. 175. Doña Isabel Simón 40. Núm. 176. D. Juan Villena 40. Núm. 177. D. S. R. 300. Núm. 178. D. F. R. 30. Núm. 179. D. B. Y. 40. Núm. 1…</t>
  </si>
  <si>
    <t>H, M.</t>
  </si>
  <si>
    <t>M. H</t>
  </si>
  <si>
    <t>…D. R. A. 20. Núm. 31. D. N. 80. Núm. 32. D. Agustín Sanz, maestro sastre, 60. Núm. 33. D. A. V. 100.Nú mero 34. D. Ventura Fernandez loo. Núm. 35. D. Manuel Centurión320. Núm. 36. D. M. H. 1500. Núm. 37. D. A. A. 20. Asimismo se han suscrito para el mismo caritativo objeto los señores si guientes: ! ; Número i.° D. Torcuato Torio de la Riva, durante la epidemia, por 40 rs. al mes-Núm. 2.°. Doña Juana Perez, por idem, por 10 rs. semanales. Núm.…</t>
  </si>
  <si>
    <t>…V., : en seis onzas de oro, ¡1920. Núm. 453. ;D. J. F. JL dos recibos de intereses de vales Reales importantes 2166 .rs; Nám. 454. D. A.?T;/.6ot Num, 455. ^D. -Jí A; 40. Num. 456; Doña M. H. 20. Npm.! 4(17., D¿ F. B. 400: Num. ’ 458.; La comunidad de padres Agustinos de;S. Felipe el Real de esta corte 400. Núm. 459. D. Antonio Montero 80. Núm. 460. El Emo; Sr. cardenal 'de-Scala, arzobispo de Totedo, 10®..Núm. 461. D. N’. 40 Núm. 462. Los ~\3tés.…</t>
  </si>
  <si>
    <t>H, Q. B.</t>
  </si>
  <si>
    <t>Q. B. H</t>
  </si>
  <si>
    <t>…úm. 51. D. Pedro Marcelino Blanco 20. Nú mero =52. El señor cura cíe S. Ginés, por limosnas que le han entregado algu nos feligreses, 212. Núm. 53. D. Esteban Morales 40. Núm. 54. D. Q. B. H. 500. Núm. 55. Doña G. C. 40. Núm. 56. D. Rafael Guzman 10. Nú-</t>
  </si>
  <si>
    <t>Ha, Bernstorffi</t>
  </si>
  <si>
    <t>Bernstorffi Ha</t>
  </si>
  <si>
    <t>…Estado el día 5 de este mes, nombró al barón de Altenstein en lugar de S. A. el príncipe canciller del Estado para que abriese la se sión, lo que ha verificado con asistencia del conde Bernstorffi Ha nombrado también S. M. individuos del mismo Consejo de Estado al consejero privado de legación Mr. Raumer, á los consejeros privados de regencia Mr. Devitz y Behrnauwer, y á Mr. Hag^meister, consejero privado de Justicia. En la gaceta oficial de esta capital…</t>
  </si>
  <si>
    <t>Ha.ta, Domingo de</t>
  </si>
  <si>
    <t>Domingo de Ha.ta</t>
  </si>
  <si>
    <t>…e dicho señor, sita en lá calle y casa de la Cruzada, cuarto principal, Portel juzgado ordinario dd Sr. D. Gnagorio Barraicoa .alcalde mayor de la ciu dad de Zaragoza, y oficio de D. Domingo de Ha.ta, escribano de ,su numere, y á vírtiid de comisión del Sr. L&gt;. Manuel. Josef de .4rblzü,.dei Consejo dé,S. M,. al calde en su Real Casa y Corte, sé están subastando para"pago dé acreedores las fin-’ cas siguiente?: una casa grande sin número sita en dicha cmda…</t>
  </si>
  <si>
    <t>Hair</t>
  </si>
  <si>
    <t>…e la Oposición un triunfo, que puede considerarse op ino el primer paso para una reforma parlamentaria, pues adoptó la Cámara por 149 votos contra 144 la propuesta que había hecho lord Hair. il ton de que se atendiesen las diferentes quejas que se reciben del estado político actual en que se hallan las aldeas escocesas, Jas cuales son gobernadas por cuerpos que se renuevan por sí mtsrqos, y nombran los diputados al parlamento. Son me**</t>
  </si>
  <si>
    <t>Hall</t>
  </si>
  <si>
    <t>…ue no vivió rnas que una hora.' Estuvo^ la l;&gt;uquésa muy mala algunas horas, y- habiendo al fin declarado los médicos que estaba mejor, á las cuatro de la tarde, fue despachado el teniente Hall para este reino. . En la gaceta de Lóndies de.ayer noche sé hace saber por un; aviso, que la &lt;casa.de moneda hacdado/^V .banco piara uso, de,líos subditos de S. M. una,can tidad de coronas nuevamente acuñadas que deben correr por cinco chelines. : ■ d : ó ■ -…</t>
  </si>
  <si>
    <t>Haller</t>
  </si>
  <si>
    <t>…alle de Tem pe, cerca de la villa de Ambelaky. En una carta escrita por el caballe ro. Brondsted, agente de la corte de Dinamarca, se refiere el rasgo siguiente de la conducta del barón Haller. Habiéndose embarcado para volver desde Atenas á Alemania Mr. Stakelbergy caballero de distinción de Liorna, y '«muy amigo suyo , cayó en poder de algunos piratas álbaneses, los cuales en viaron á decir á Atenas que no le pondrían en libertad sino mediante la…</t>
  </si>
  <si>
    <t>Hallerstein, Haller de</t>
  </si>
  <si>
    <t>Haller de Hallerstein</t>
  </si>
  <si>
    <t>…ilvania, el embajador persa Mirza-Abdul-Assan-Kan, destinado á la corte de Londres, y hasta mediados de Febrero no llegará á Viena. . Idem jo. Se sabe ya de positivo la muerte del barón Haller de Hallerstein , célebre viagero, que se había dedicado al estudio de la arquitectura, y que hacia al gunos años estaba recorriendo toda la Grecia. Ha fallecido en el valle de Tem pe, cerca de la villa de Ambelaky. En una carta escrita por el caballe ro. Brondsted, agente d…</t>
  </si>
  <si>
    <t>Harding</t>
  </si>
  <si>
    <t>…impaciencia. Idem 12. Cuando el archiduque Maximiliano fue á ver la fábrica de cordelería en el astillero Real en Portsmouth estuvo para suceder un_ accidente funesto al señera 1 conde Harding, que iba en la comitiva de S. ’A. I. Estando torciendo un cable los cordeleros, fijó el conde la vista_ en la cuerda que tema la marca Réal, y puso la mano en otra parte * de manera que al torcerse el cable le cogió los dedos; aunque se dió orden al momento p…</t>
  </si>
  <si>
    <t>Haro, Antonio Evaristo de</t>
  </si>
  <si>
    <t>Antonio Evaristo de Haro</t>
  </si>
  <si>
    <t>…la de Búrgos, habiéndose reparado en este año hasta fines de Setiembre a© varas lineales de camino, y construídose en él varias obras de consideración. . Por providencia del Lie. D. Antonio Evaristo de Haro, abogado de los Reales Consejos, y alcalde mayor de la villa de Morata, se cita, llama y emplaza á cual quiera persona que se considere con derecho al goce de los bienes pertenecientes al vínculo que el Lie. D. Antonio de Castro fundo-por su testamento otorga…</t>
  </si>
  <si>
    <t>Haro, Antonio López de</t>
  </si>
  <si>
    <t>Antonio López de Haro</t>
  </si>
  <si>
    <t>…Supernumerarias. A D. Josef Nebot, comisario de Guerra; D. Benito Lápicdra, comisa rio ordenador honorario; al conde de Regla marques de S. Cristóbal, gentil» .hombre dq Cámara ; D. Antonio López de Haro, alguacil mayor y regidor perpetuo de Alcaraz; D. Rafael Fausto,Florín,, intendente graduado de pro vincia D. Josef Vázquez Ballesterps, fiscal del Consejo supremo de Ha cienda; D. Luis de Peñalvervecino.de la Havana; D. Domingo Surga, se gundo teniente del p…</t>
  </si>
  <si>
    <t>Harrowby</t>
  </si>
  <si>
    <t>…e indios y de mercaderes indios, en el cual se ria muy conveniente poner la residencia de un gobernador. Otra vez anuncia hoy el Times mudanzas en el ministerio, suponiendo que el conde Harrowby va de embajador á Parts, y que en la plaza de pre sidente del Consejo le ha de suceder lord Simouth, el cual será substituido por Mr. Roberto Peel en el ministerio del Interior; pero no sabemos qué funda mento tienen estas voces. Escriben de Manchester con fe…</t>
  </si>
  <si>
    <t>…de estilo, y se examino en comisión general en la misma sesión,resutmndpvadpptado^ y sp ^emitió ador-ipres, quienes pro bablemente le adoptarán en la sesión de hoy. A propuesta de lord Harrowby acordarom.ay er . los. .lores, suspender las órdenes vigentes relativas á la adop ción de los bitles, las cuales no permiten se lea mas de una vez uno mismo gp Ccidíi sesión. * ^ El editor del periódico intitulado ttie Courier felicita á la Inglaterra por el…</t>
  </si>
  <si>
    <t>…orreo ruso procedente de Petersburgo, lo que ha aumentado las sospechas de que se tratan asuntos de grande importancia. ^ GRAN B R E T AÑA. Lóndres 8 de Maya. ■ 0 Ha presentado el conde Harrowby á la Cámara de los Pares el informe de la comisión encargada de examinar el estado del banco, y es conforme al que Mr. Peel presentó á la Cámara de los Comunes. Las medidas propuestas por la comisiónrse reducen á'qüe vuelvan á hacerse los pagos en oro el año…</t>
  </si>
  <si>
    <t>…scursos de lord Grenville y otros individuos del partido de la oposición, se desecharon sin pasar á vota ción las medidas propuestas pot lord &gt;bauderdale;y fueron adoptadas las de lord Harrowby,, casi por unaulmidadj, sin mas que dos ó tres votos en con trario. r: '.■■•V. - :':‘r ' . ■: y Se reducen estas providencias:, como anteriormente se dijo, á que vuel-i va el banco á hacer los pagos en metálico por el orden siguiente: desde i.° de Febrero de…</t>
  </si>
  <si>
    <t>…leyó por. tercera vez en la Cámara de los Pares el bilí relativo á los pagos que debe volver á hacer el banco desde el i.° de Mayo de 1821. Con arreglo ájeste proyecto propuso el lord Harrowby que se dejase á elección del jbanco el método de pagar en barras ó en moneda, lo que le proporcionaría el tiempo necesario para aumentar sus fondos. El bilí pasó con esta corrección, y en el discurso de la sesión confirmó lord Liverpool lo que anteriormente n…</t>
  </si>
  <si>
    <t>Hart</t>
  </si>
  <si>
    <t>….los católicos ' romanos , manifestando, S¿ A. R. al mismo tiempo, como siempre lo ha hecho?' en.ocasiones semejantes,, que no era su ánimo dar su dictamen §obRejérasüiito.v.i ;Él general Hart pidió que se constituyese la Cámara en. comisión generat-f para diseu tirelas leyes ¿sobre -las; destilaciones prohibidas en Irlarida,. con cuyo * motivo-,se suscitómna discusión ^sumamente .larga é interesante, y se aprobó -’ que desde el año cíe 1 $10 se l?…</t>
  </si>
  <si>
    <t>Havana, Luis de Peñalvervecino.de la</t>
  </si>
  <si>
    <t>Luis de Peñalvervecino.de la Havana</t>
  </si>
  <si>
    <t>…o, alguacil mayor y regidor perpetuo de Alcaraz; D. Rafael Fausto,Florín,, intendente graduado de pro vincia D. Josef Vázquez Ballesterps, fiscal del Consejo supremo de Ha cienda; D. Luis de Peñalvervecino.de la Havana; D. Domingo Surga, se gundo teniente del primer regimiento de Reales guardias de infantería; Don Vicente Martínez, primer médico de Cámara; Di Ignacio Moreno, tesorero . dé egército honorario , y director presidente de la Real compañía del Guadal%quivir; D. P…</t>
  </si>
  <si>
    <t>Haver</t>
  </si>
  <si>
    <t>…tributo á la memoria de este insigne autor dramático, y entregar á su familia el producto de su loable y generoso proyecto. Kotzebue empezó su carrera de secretario particular del general Haver, comandante ge neral de la Estonia, quien le proporcionó un destino en aquella provincia, y al mismo tiempo se le concedió el título de nobleza. -- La conscripción militar que según está mandado debe hacerse anualmente en todas las provincias alemanas desde e…</t>
  </si>
  <si>
    <t>Hebrar, Pedro</t>
  </si>
  <si>
    <t>Pedro Hebrar</t>
  </si>
  <si>
    <t>…nciado señor alcalde y escribanía referida. No habiendo tenido efecto en1 7 del corriente por 'la suspensión de tribunales la junta de aCfeedores á los bienes de que hizo dimisión D. Pedro Hebrar en el'juzgado del Sr^I&gt;. Angel Fernandez de los Ríos, dei Consejo de S. M., primer teniente de: corregidor de esta muy heroica villa, y escribanía del número de D. Martin Santin y, ^/azquez, se ha vuelto á señalar para ella el domingo 7 de Marzo próximo, á la…</t>
  </si>
  <si>
    <t>Hecha, Wredei</t>
  </si>
  <si>
    <t>Wredei Hecha</t>
  </si>
  <si>
    <t>…Ratisbona , y los si guió en la^ universidad de Tubingen. Tomo las armas contra Napoleón, y estuvo sirviendo en un cuerpo de cazadores voluntarios del egército bávaro que mandó el mariscal Wredei Hecha lá paz se fue á continuar su carrera literaria en la universidad de Erlangen. Su conducta era irreprensible; pero siempre se notó que tenia una imaginación muy exaltada? Tuvo la desgracia de perder, en el verano de 1817 á su mayor .amigo ', que.se ahogó bañán…</t>
  </si>
  <si>
    <t>Henarejos, Josef Fernandez</t>
  </si>
  <si>
    <t>Josef Fernandez Henarejos</t>
  </si>
  <si>
    <t>…o general, y capitán general de los Reales egércitos; marques de- la Concordia, capitán general de los Reales egércitos, y caballero gran cruz de la orden española de Cárlos iii ; D. Josef Fernandez Henarejos, comisario de guerra de los Reales egércitos , y D. Santiago López Regañón, teniente de fragata de la Real armada, individuos de la diputación general de los reinos, en representación de esta; D. Josef Manuel de Arjona, corregidor de la muy heroica villa de M…</t>
  </si>
  <si>
    <t>Henley</t>
  </si>
  <si>
    <t>….!'.-» - .-:b , oí Estám disponiendoi por primeranvez los-áñglo--american0s&gt; una expedición para hacer descubrimiento»: !al rededor dél mundo. La fragata: nombrada el Congreso, su capitán Henley, es la elegida para este objeto, y el viagé será de dos años/ j'-v v .. :: ^ - o- t.. ". v ..o bti'A.i.' ’v v Idem 1.8. ■ b El-estado de. la’ guardiái nacional dé Pari&amp;erá el siguiente en 1.® de "SMarzo dei esteoafe Guardia¿de:á pié s oficiales* XÓ49 ; '.sari…</t>
  </si>
  <si>
    <t>Henriquez, Custodio</t>
  </si>
  <si>
    <t>Custodio Henriquez</t>
  </si>
  <si>
    <t>…a, cuyos autos penden en este tribunal, para que en el término de 30 dias, que por tercero y último perentorio se les conceden, acudan á él por la escribanía de Guerra dé cargo de D. Custodio Henriquez á usar dé su derecho; prevenidos que de no verificarlo se procederá á la distribución de bíénes, conforme lo tiene solicitad» el defensor de la insinuada testamentaría. Se halla vacante ia plaza de preceptor de gramática en la villa do Almonacid de Zurita, 14…</t>
  </si>
  <si>
    <t>…D.Ma nuel Bradi en 27 cié Noviembre de 1806 en 508,350 rs. vñ. La persona que quiera hacer postura ;í ella acuda al referido juzgado y escribanía principal de Guerra del cargo de D. Custodio Henriquez, que se le admitirá siendo arreglada; en la inteli gencia de que está señalado para .su remate el día 6 de Diciembre venidero en la audiencia calle del Príncipe, á las 12 de su mañana. En virtud de providencia del Sr. D. Alanuel Josef Rubio, del Consejo de S.…</t>
  </si>
  <si>
    <t>Heraña, Salvador</t>
  </si>
  <si>
    <t>Salvador Heraña</t>
  </si>
  <si>
    <t>…la dirección del Crédito pú blico ; el marques del Real Socorro; D. Josef García Carrasco., vecino de Cáceres; el conde de Vallehermoso ,\aícalde del crimen en Lima; D. Juan Gavo, D. Salvador Heraña, D. León Hormaechea, D. Vicente Camacho y D. Ma,imel Alvarez García, oficiales,de la secretaría, de Estado y del Despacho de</t>
  </si>
  <si>
    <t>Heredia, Antonio Mediano y</t>
  </si>
  <si>
    <t>Antonio Mediano y Heredia</t>
  </si>
  <si>
    <t>…la mas solemne nombró por sus comisarios para las disposi ciones, de las exequias fúnebres á los regidores D- Guíllermo Perez Oñana ^te niente ^qrqneí ; de; losrReales egércitos; D. Antonio Mediano y Heredia , cabaló l^fq^upqstrajaje.P» Jua» , jubiíáfe te</t>
  </si>
  <si>
    <t>Heredia, Francisco</t>
  </si>
  <si>
    <t>Francisco Heredia</t>
  </si>
  <si>
    <t>…t q^e le comunicó S. M. la infausta noticia de la muerte de su augusta Esposa', dispuso sus exequias en la santa iglesia-catedral bajó la díreccioh de lós'regidores sus comisarios D. Francisco Heredia y D. Juan Argüellés/ToraI eniqs r dias 31 de Enero y i.° de Febrero, y se celebraron con él mayór aparato fu- ' nebre, y con las mas expresivas demostraciones de sentimiento y dóíbr. Aíl*su tres de la tardé del citada día 31 salió la Ciudad deí su casa cónsiátorial ^ ¡des pués d…</t>
  </si>
  <si>
    <t>Herek, Manuel</t>
  </si>
  <si>
    <t>Manuel Herek</t>
  </si>
  <si>
    <t>…" ‘ ;;}&gt;E1;¿Rey; nuestroSeñor. Se ha dignado conferir el gobierno militar y polír tipo ¡df.la plaza de-Málaga al teniente general D. Juan Caro: el de Bada jó# aj mariscal de campo D. Manuel Herek: el de la ciudadela de Barcelona J áí de igual cias^D.; Pedro de Grimarestí y el del castillo de S. Sebastian deda: plaza de Cádiz; al. teniente, coronel D. Pedro María de Ugarte , primer ayu dante del regimiento infantería de Zaragoza. ■ En Améri&lt;;ar. &gt; La c…</t>
  </si>
  <si>
    <t>Heres, Josef Pezuela y</t>
  </si>
  <si>
    <t>Josef Pezuela y Heres</t>
  </si>
  <si>
    <t>…Francisco Orlando,y Fernandez, D. Aniceto Calvez, de Pedro, D.¡Juan Lacemba y Víale, Don Santiago Posadillo y Chavarri, D Rafael Sentistillano y Pescio, D. Luis Basols y Marañosa, D. Josef Pezuela y Heres, D. Juan Eiizaide y Royo, ,D. Diego Guerrero y Sedaño, D. Julián Velarde y Santillan, D. Josef Abev11a y Conde, D. Juan Teran y Caldera , D. Juan DFIerve y Paredes, Don Francisco Navas Garro de Ulloa, D. Antonio Solís y González, D. Julián Giraldo y Molina, D…</t>
  </si>
  <si>
    <t>Hermida, Benito Ramón de</t>
  </si>
  <si>
    <t>Benito Ramón de Hermida</t>
  </si>
  <si>
    <t>…a de.D. Alfonso de Yévenes á usar de su derecho acerca de los endosos de lo* referidos vales. El Paraíso perdido de J. Milton, poema ingles , traducido al castellano por eí Excmo. Sr. D. Benito Ramón de Hermida, y dado á luz pof su hija la marquesa de Sta. Coloma. Véndese en la librería de Ibarra, calle de la Gorguera, y en la de Ranz/calle de la Cruz, en dos tomos en 8.°, papel fino, á 16 rs. á la rústica. Sien do tan conocida de todos esta obra parece excusado dec…</t>
  </si>
  <si>
    <t>Hermosilla, Juan Benito</t>
  </si>
  <si>
    <t>Juan Benito Hermosilla</t>
  </si>
  <si>
    <t>…e las 62 Reales escuelas gratuitas en las casas consistoriales de esta, muy heroica villa, principiando el 13 de Junio último con un elegan te discurso que leyó, el$r., presidente D. Juan Benito Hermosilla análogo á las circunstancias ¿ejercitando en seguida las 6 diputaciones del cuartel de la pla za, mitad, por la mañana de 9 á una, y mitad por la tarde de 4 á 8¿ y guar dando. esté mismo orden en los siguientes dias. El 14 egercitaron las 6 del cuartel de. Pa…</t>
  </si>
  <si>
    <t>Hernán, Manuel</t>
  </si>
  <si>
    <t>Manuel Hernán</t>
  </si>
  <si>
    <t>…ua , en la que puede estable cerse una balanza justa entre los intereses del público y de los profesores de farmacia. Obra utli é interesante, que compuso y publicó en 1813 el Dr. D. Manuel Hernán dez de Gregorio, boticario de Cajera de $. M. Véndele pn la droguería de Trasvilía, calle de Postas, á 6 rs. , Arte de escribir compuesto por D. Esteban Ximeriez, siguiendo el método y buen gusto de D. Francisco Xavier'de Santiago Palomares, adornado con 17 m…</t>
  </si>
  <si>
    <t>Hernández, Agustin Cano</t>
  </si>
  <si>
    <t>Agustin Cano Hernández</t>
  </si>
  <si>
    <t>…ra de 28 del mismo mes se ha servido S. M. conceder el fuero mi litar y uso de uniforme de practicantes de farmacia de egército á D. Bartolo-: mé Gómez, residente en est^ corte; á D. Agustin Cano Hernández, en la ciu dad de Alicante, y á D. Juan Formenti, en la de Barcelona; declarando asi mismo S. M. le ha sido muy grata la cesión que respectivamente han hecho de Ja pensión, que con arreglo á la Real orden circular de 19 de Junio de 1815 debían disfrutar, y qu…</t>
  </si>
  <si>
    <t>Hernández, Manuel</t>
  </si>
  <si>
    <t>Manuel Hernández</t>
  </si>
  <si>
    <t>…Num;-22o. D. N. N. 24. Núm. 221. D. N. 320. Núm. 222. D.SantiágodlóbfédbUooYNúm. 223. D..A. O. 400. ^.m-,:2r2¡fe.-Kfty80. Núm. 225. -El Exorno. Sr.rduque de Veragua 500. Núm. 226. D. Manuel Hernández d$,Gregorio 160. Núm. £27. La;co-? igunidftd trinitarios Calzados "de $sia norte;, &gt; por; afera ¿VpPofeúmero 22Í*¿tak;'&amp;&amp; 'Melania Bretón, primera, bailarina de los teatros pstíf corrte v jop, Nún^. 2.29. D. N. N. ioo.;:Núm.; ?3p. D..Nicolás. Villa '8o.-Núm.…</t>
  </si>
  <si>
    <t>Hernández, Mateo</t>
  </si>
  <si>
    <t>Mateo Hernández</t>
  </si>
  <si>
    <t>…gué al sable , y en poco menos de un cuarto de hora deshice la gavilla, dando muerte á 9 rebeldes, cogiendo: 8 prisioneros, entre ios que se cuenta ,el nombrado cabecilla titulado capitán Mateo Hernández , quien por ir mon tado en un velocísimo caballo lo perseguí como tres leguas, acompañado so lamente por el entusiasta intrépido y valiente vecino de la Noria D. Vicente Ferrer de Lata, y logré, hacerlo, prisionero: he tornado-16 caballos, ios mas de ¿líos en…</t>
  </si>
  <si>
    <t>Hernández, Tiburcio</t>
  </si>
  <si>
    <t>Tiburcio Hernández</t>
  </si>
  <si>
    <t>…sociedad D. Josef de Navarrete, capellán de honor de S. M., y de su Conse jo en el tribunal de la Rota; y en seguida, leyó otro análogo á la enseñanza el maestro director de ella D. Tiburcio Hernández, socio de mérito y censor del expresado Real cuerpo. ' 1 Después fueron examinados'todos los alumnos dd colegio, los cuales de mostraron como aprenden á escribir , leér y pronunciar todo á un tiempo: pronunciaron clara é inteligiblemente cuantas palabras se l…</t>
  </si>
  <si>
    <t>…sus tareas en beneficio de la humanidad, y de las que, con unos resultados tan felices, consagran á fa vor de los progresos de esta enseñanza, asi el maestro director de la misma D. Tiburcio Hernández , como la junta particularmente encargada, conforme á reglamento, de dirigir y gobernar el colegio. El subdirector de la sociedad dio por todo expresivas gracias á las perso nas que se sirvieron asistir á los exámenes; y en el último dia de ellos puso en mano…</t>
  </si>
  <si>
    <t>Hernaur, Cristóbal</t>
  </si>
  <si>
    <t>Cristóbal Hernaur</t>
  </si>
  <si>
    <t>…mpó D.‘ Josef Vellido: de Ta torre, de S. Juan de Torrtpsa ,al capitán D; Antonip Moor , segundo;ayudante del regimiento de infan* ¿tería^de .^stnrips la ciudadela de Valc.dcia al coronel D. Cristóbal Hernaur dez, capitán retirad0 la mi.sma plaísa.r.y itenienté de_rey de ja de Badajoz al cocoael-D.-Vkente Alba, que lo era de Cartagena. —- --------■ : T/f'qf ... á ' i, A í &gt; T1 f,rvT' iw %íc-\rt;m ; v&lt; Ul rA «TV • •</t>
  </si>
  <si>
    <t>Herrainz, Atanasio</t>
  </si>
  <si>
    <t>Atanasio Herrainz</t>
  </si>
  <si>
    <t>…de las Huertas, frente á la del Lobo; el de Solan defCabras.D..Joséf M enchero calle de la ( aíyá baje, rium. 25; el de Sacedon D. Marcelino Sauz en la misma villa; él de Alcantud D. Atanasio Herrainz en el pueblo de Cá^ ñaveras ;.el,de Alánge D. Josef Alegre Galan en 'Almendralejo; el de Ledesrna D.'Pablo Montesino en Valencia de Alcántara. 3.0 Que los enfermos que quieran consultar á los expresados,médicos directores antes de salir de sus casas deberán h…</t>
  </si>
  <si>
    <t>Herrera, Bernardo Perez de</t>
  </si>
  <si>
    <t>Bernardo Perez de Herrera</t>
  </si>
  <si>
    <t>…e la Real orden Americana de Isabel la Catól ica. Por sejcte*idia de la chancillería de Vailadolid de 22 de Mayo de 1807 está re servado á los hijos , nietos, y biznietos del Lie. D. Bernardo Perez de Herrera, el derecho que puedan tener al crédito-de 47977 rs. y 32 mrs , correspondiente á -Doña Beatriz Fréile', contra el estado del marquesado de Fromista, y á los rédi tos, vencidos y mandados pagar por la sentencia; cuya cantidad, unida á la ante cedente, asciend…</t>
  </si>
  <si>
    <t>Herrera, Francisco</t>
  </si>
  <si>
    <t>Francisco Herrera</t>
  </si>
  <si>
    <t>…sef Adan, D. Salvador Várela , D. Juan Mateo, D. Antonio Medina y D. Ramón Martínez. En la segunda D* Ignacio Várela , D. MañuefRodríguez Campo , D; Manuel-García, D. Pedro Ochoa, D. Francisco Herrera, D. Joaquín Meana .y D. Miguel Arrimada. En la tercera D. Josef Gutiérrezp. Carlos Santo,- D. Sebastián Romero, D. Antonio Medinilla, D. Juan Meáha y D. Francisco Bragne. En la cuarta y última D. Federico Rodríguez Campo, D. Josef Maurelles, P. Sebastian Xime…</t>
  </si>
  <si>
    <t>Herrera, Josef Joaquín de</t>
  </si>
  <si>
    <t>Josef Joaquín de Herrera</t>
  </si>
  <si>
    <t>…se con¡ honor en ella, condujo en su propio ca ballo á los heridos. ,,Dios guarde á vmd. muchos años- Zírandaro Octubre 31 de 1818. = Josef María Martínez. =Sr. teniénte corohei y comandante D. Josef Joaquín de Herrera.” Barcelona r&lt;T de Mayo. Anoche se dignó honrar el teatro de esta ciudad con su augusta presencia ía Serma. Sra. Infanta Doña Luisa Carlota, y recibió S. A. en él los respe tuosos obsequios de un lucido y numeroso concurso, habiéndose retirado á palacio luego…</t>
  </si>
  <si>
    <t>Herrera, Mateo de</t>
  </si>
  <si>
    <t>Mateo de Herrera</t>
  </si>
  <si>
    <t>…os, que tam bién se ajustad con el fiiismo facultativo. Se verificará su provisión en todo el mes dé Enero próximo. Los. aspirantes, dirigirás sus memoriales con sobre á los Sres. Don Mateo de Herrera y 5. Francisco García, principales encargados por él ayuntámíento. .............. Sermones varios panegíricos y morales, su autor el P Fr. Sebastian Sánchez So brino: tomos 16, 17, 18, Í9 y 10. Sé hallarán con los anteriores en la librería efe ííi viuda de B*…</t>
  </si>
  <si>
    <t>Herrero', Manuel Ramón</t>
  </si>
  <si>
    <t>Manuel Ramón Herrero'</t>
  </si>
  <si>
    <t>…asi se verificó, correspondierido estos comisionados á la confianza que se les había dispensado, y puestos de acuerdo con el Lie. D. Agústin Martínez, dignidad de prior, y el Dr. Don Manuel Ramón Herrero', canónigo doctoral de la iglesia colegial, y diputado de su, venerable cabildo, señalaron ios días 21 y 22 para su celebración. A las tres de la tarde del primero pasó pracesionalmente el deán con su cabildo á la sala consistorial, donde esperaba el ilustre a…</t>
  </si>
  <si>
    <t>Herrero, Antonio</t>
  </si>
  <si>
    <t>Antonio Herrero</t>
  </si>
  <si>
    <t>…en ALcarjtjz en La de D. Ramon Villalba; en Caíatayud en ia de D. Lorenzo Gano Beirran; en Un Castillo en la de D. Paulino Gil; en Jaca en la de D. Josef Mora ; en Teruel en la de D. Antonio Herrero; en Zarago za en la del'Lie:’D» Mariano Herrando; en Alicante en la de D. Francisco Sarget; en-Cartagena en/la dcXDr. D. Juan Josef Franco;.en Orihuela en la, de D^Jósef Salón; en Tarragona; en ia-,dei . Dr. D. Juan Bautista Argués; • e,n Lérid 1 en 1a ide T¡…</t>
  </si>
  <si>
    <t>Herrero, Manuel</t>
  </si>
  <si>
    <t>Manuel Herrero</t>
  </si>
  <si>
    <t>…; al temíenté de fealiitas de Acámbaro D¿ Agustín González, y con particularidad al porta D. Josef Casado; al sargento de realistas de Valladclia Pablo Palaxfiós, y'álóS paisanos !D. Manuel Herrero, D. Josef de Jesús Calderón, Don «Josef Mari# Novillo y Valentín Malagoñ. . ¿ ,, Dios guarde á V. S. muchos años. Zinapécuaro Agosto 30 de 1818.== Ramón García y Reguera.=Sr. coronel y comandante general D. Matías Már■ - 1 ' 1 ’ -tin y Agüítre ;! - A : : &gt; '…</t>
  </si>
  <si>
    <t>Hichel</t>
  </si>
  <si>
    <t>…un vaso de agua recien cogida al palacio imperial, anunciando de este Modo la abertura dé já navegación del Neva. " "J' J‘ ; * SÜECIA. :...." ' r ic , spjj* ¿fofa &gt;?. . • ; r. El coronel Hichel, ayudante de Campo* del Rey, salió de aquí para París el dia aó^se .díce:,afls ... El viernes último llegó á ésta corte un correo de Gabinete despachado por nuestro encargado de Negocios en ia corte do Petersburgo, y el domingo sa lió otro para la misma capit…</t>
  </si>
  <si>
    <t>Hidal, Juan Josef</t>
  </si>
  <si>
    <t>Juan Josef Hidal</t>
  </si>
  <si>
    <t>…deración, según se manifiesta en el adjunto estado. Recomiendo á V. S. el singular mérito que ha contraído la tropa de mi man do en este día, y muy particularmente á los capitanes D. Juan Josef Hidal go, herido con dos balazos; D. Antonio Vázquez, que salió contuso; D. Be* nito Boves y D. Francisco Sainz; los tenientes D. Hilario Noguera; D. Juan Bolet, D. Josef Antonio García y D. Benito Ostos; los subtenientes D. Fran cisco Bolet y D. Manuel Rodríguez;…</t>
  </si>
  <si>
    <t>Hidalgo, Cristóbal Romero</t>
  </si>
  <si>
    <t>Cristóbal Romero Hidalgo</t>
  </si>
  <si>
    <t>…caz zéio del ca tedrático tiene toda está provincia, con aplauso de i3l|»Uñds? sabios fórá&amp;e¿ ros, no menos que de los patricios que concurrieron al acto., procedió el pre sidente D. Cristóbal Romero Hidalgo, beneficiado de esta iglesia párroqu íáf'í por ausencia del hermano mayor á quien correspondía^ =al repartimieiito 'de los premios de ordenanza-• r» r.K ir *7 : -7 v</t>
  </si>
  <si>
    <t>Hidalgo, Ramón</t>
  </si>
  <si>
    <t>Ramón Hidalgo</t>
  </si>
  <si>
    <t>…de capitán; se le dió; la nobleza personal, y el grado de teniente^ coronel en el , ( . &gt; eo t . /batallón de Barinas'donde sirve. :&gt; 1y Milicias de pardos de Valencia. Capitanes. D. Ramón Hidalgo, Don Casimiro Colon, D Fermín Pajdrázá, y D. Pedro María. ; Tenientes. D. Hilario Noguéras v D. Antonio Rodríguez y D. Josef Ama dor han sido confinmados en sus enipléos * y obtenido 1¿ nobleza personal.^ ■ - Capitanes de las guerrillas de Barinas. ‘ ©.'Franc…</t>
  </si>
  <si>
    <t>Hiño, Antonio Becerril</t>
  </si>
  <si>
    <t>Antonio Becerril Hiño</t>
  </si>
  <si>
    <t>De la NaVa del Rey. A D. Quirico Antonio Egaña. De Ma zarrón. A D. Pelegrin Miguel de Barbastro. De los Barrios en el campo de Qibraltar. A D. Antonio Becerril Hiño josa.. Segundo de la ciudad de Córdoba. A D. Angel Martínez del Pozo. : De Camprodons. A D. Estanislao Oloriz y Este!les. De Berga. A D. Salvador Arnaldo y Segaría. De Elda. A D. Melchor Cortés y Llagas.; , , ' . . ' En América.• El Rey nuestro Señor-se ha di…</t>
  </si>
  <si>
    <t>Hinojosa, Antonio Becerril</t>
  </si>
  <si>
    <t>Antonio Becerril Hinojosa</t>
  </si>
  <si>
    <t>…l día 21 del pasado tuvieron la honra de felicitar á S. M. por su augus to enlace á nombre de la ciudad de Teruel D. Simón Acuavera, su brigadier de guardias de la Real Persona, y D. Antonio Becerril Hinojosa, alcalde ma yor electo por S. M. de la villa de los Barrios en el Campo de S. Roque; habiendo arengado este á S. M. en los términos siguiéntes: ,, Señor: Gomo comisionados y á nombre del ayuntamiento de vuestra ciu-í dad dé Teruel, una de las de voto en corte…</t>
  </si>
  <si>
    <t>Hinojosa, Juan de</t>
  </si>
  <si>
    <t>Juan de Hinojosa</t>
  </si>
  <si>
    <t>…pleito que sigue Doña Luisa María Flo res Chaves y D. Franco Ulloa Flores su hijo, vecino de la villa de Cáce-*&gt; res, sobre la sücesion y propiedad de los mayorazgos fundados por D. Juan de Hinojosa y Doña Teresa Calderón su muger. ¿ ; 7.0 : Testimonio de la pertenencia de un erecto contra Madrid y, la sisa de 8© ducados de principal en cabeza de Doña Petronila Cadanes. C 8.° Testimonio sacado por concuerda del privilegio ganado! por] el lugar de Paracuellos, seguido con la vi…</t>
  </si>
  <si>
    <t>Hipólito, Josef</t>
  </si>
  <si>
    <t>Josef Hipólito</t>
  </si>
  <si>
    <t>…ilustre nombre de las Vizcayas desde D. Gerónimo de Zurita, analista del reino de Aragón, hasta el R. P. M. Fr. Henrique Flores, ex-asistente general del or den de S. Agustín, por D. Josef Hipólito de üzaeta y Gallaistegui: un tomo en 4.0 Véndese en la librería de Barco, calle de la Cruz, á 12 rs. en rústica y 16 en pasta. Colección de retratos de los Reyes de España , dispuestos para servir en la nueva edición de la Historia de España, escrita por el P…</t>
  </si>
  <si>
    <t>Hispano, Pedro</t>
  </si>
  <si>
    <t>Pedro Hispano</t>
  </si>
  <si>
    <t>…acio 5 de Diciembre de 1819. = El marques de Matafiorida. Por Real resolución de 21 de Mayo, último, á consulta efe? Consejó suprer mo de la Guerra, se ha servido S. M. conceder á D. Pedro Hispano, médico ; residente en la ciudad de Gandía , el fuero militar y uso de uniforme de mé dico de número de egército» en premio de los servicios que ha contraido du rante la última guerra: el fuero m litar y uso de uniforme de practicante de cirugía de egército á…</t>
  </si>
  <si>
    <t>Hoces, Francisco</t>
  </si>
  <si>
    <t>Francisco Hoces</t>
  </si>
  <si>
    <t>…ncisco Chico,vecino de Carabanchel de abajo, otorgada por la misma villa de Humera en 22 de Mayo de 1651. 11. Una egecutoría expedida por la chancillería de Granada á instancia de D. Francisco Hoces , caballero del orden de Santiago , y veinteicuatro de Cór doba, en el pleito seguido en dicha chancillería con Doña María Francisca de Hoces sobre reintegración de una dote, fecha 3 de Julio de 1673, reftendaca del escribano de Cámara D. Andrés de Churriaga.…</t>
  </si>
  <si>
    <t>Hoces, María Francisca de</t>
  </si>
  <si>
    <t>María Francisca de Hoces</t>
  </si>
  <si>
    <t>…da por la chancillería de Granada á instancia de D. Francisco Hoces , caballero del orden de Santiago , y veinteicuatro de Cór doba, en el pleito seguido en dicha chancillería con Doña María Francisca de Hoces sobre reintegración de una dote, fecha 3 de Julio de 1673, reftendaca del escribano de Cámara D. Andrés de Churriaga.' 12. Testimonio de los títulos y papeles de hidalguía, limpieza y nobleza pertenecientes al Dr. D. Raimundo Campoy, abogado de la Real audien…</t>
  </si>
  <si>
    <t>Holland</t>
  </si>
  <si>
    <t>…la ciudad de Basilea tiene .particular injeres en el asunto á causa de sus relaciones con la Italia, ha enviado un represen tante. GR A N BRETAÑA. Londres 2 de Abril. Ayer anunció lord Holland en la Cámara de los Pares que el conde de Donoughmore tenia intención de. presentar á h Cámara el dia 4 de Mayo próximo las peticiones de los católicos de Irlanda, y' juntamente las recla maciones del cuerpo entéro de los católicos; y en la de los Comunes pie…</t>
  </si>
  <si>
    <t>Hopos, Lope de Quevedo</t>
  </si>
  <si>
    <t>Lope de Quevedo Hopos</t>
  </si>
  <si>
    <t>…esde el 5 del corriente, acudan ante S. S. por la escribanía de número de D. Casimiro Antonio Gómez, á decir de su derecho y justicia en la instancia promovida en este juzgado por D. Lope de Quevedo Hopos, vecino de Sta. Olalla, en la provincia de bantander, reclamando ty' vales Reales de 150 pesos y tres de 300, que si vinieren se les oirá y guardará jus ticia en lo que la tuvieren; y pasado que sea dicho término sin haber comparecido se sustanciará, verá y d…</t>
  </si>
  <si>
    <t>Hopp</t>
  </si>
  <si>
    <t>…desde Francia la Reina í su augusto Esposo, y piensa par tir hoy otra’vez para la corte de París. i •íRf'.'O PRUSIA. - Pilan $ de Abril, • . * Hoy fían llegado eri el buque Luisa, capitán Hopp, «na multitud de cb^‘ lonos escoceses que se dirigen á Polonia. : - j . Berlín 20 de Abril. ¿ Carece de todo fundamento, según la gaceta de oficio, la noticia deque él príncipe Cahciller vuelve á Aquisgran, y que ha tomado otra vez en arren damiento lacasade…</t>
  </si>
  <si>
    <t>Horca’srla.s, Agustín de</t>
  </si>
  <si>
    <t>Agustín de Horca’srla.s</t>
  </si>
  <si>
    <t>…cionado objeto, y me dirigí al 'dé1 Iá Noria, *aí que llegué á las siete de la noche. Dispuse en este punto que descansase lé caballada, y mandé se avisase al capitán de realistas D. Agustín de Horca’srla.s , para que corneo de. los suyos se me reuniese éñ et ranchó‘dellá Yérbahue,íiá .,En efecto , -lo'Vérificó á xlastdoce de la misma móche, y de álli marché -para, el rancho,dél ¿Muerto tu cuyo parase creí qué*'seguramente hallária'á fHernandez por ser el- lugar…</t>
  </si>
  <si>
    <t>Hormaechea, León</t>
  </si>
  <si>
    <t>León Hormaechea</t>
  </si>
  <si>
    <t>…dito pú blico ; el marques del Real Socorro; D. Josef García Carrasco., vecino de Cáceres; el conde de Vallehermoso ,\aícalde del crimen en Lima; D. Juan Gavo, D. Salvador Heraña, D. León Hormaechea, D. Vicente Camacho y D. Ma,imel Alvarez García, oficiales,de la secretaría, de Estado y del Despacho de</t>
  </si>
  <si>
    <t>Hoscoso, Cristóbal de Isla y</t>
  </si>
  <si>
    <t>Cristóbal de Isla y Hoscoso</t>
  </si>
  <si>
    <t>…de Andonaegui. 22. Hijuela formada por el escribano Pedro Sánchez de Buendia, que lo era de provincia, formada por muerte de Doña Petronila López Ponce de Sa las, muger que fue de D. Cristóbal de Isla y Hoscoso, entre los herederos de estos. Legajo sexto. i.° Una escritura de censo que otorgaron D. Juan de Sandoval y su mu ger Doña Felipa de Salazar, vecinos de esta corte, en favor de la capellanía que mandó fundar el Dr. Gabriel Vaquero de 61,068 rs. de principal s…</t>
  </si>
  <si>
    <t>Hotpasitas, Agustín de</t>
  </si>
  <si>
    <t>Agustín de Hotpasitas</t>
  </si>
  <si>
    <t>…l mucho conocimiento y ascendiente .que,tiene.sobre los habitantes de este .territorio, y se distinguió tan á mi sa tisfacción que no dejó nada que desear: al capitán de realistas D. Agustín de Hotpasitas, á D. Dámaso CarvajaL,. al bizarro alférez de la compañía de Tepegi del Rio D. Eugenio Torres, al de igual clase D. Andrés Perez , al valiente sargento de la compañía de realistas de Chapa de Mota Josef Angel Guzman, y á los de igual clase Josef Osornio, Mari…</t>
  </si>
  <si>
    <t>Hoyo, Clara Fernandez de</t>
  </si>
  <si>
    <t>Clara Fernandez de Hoyo</t>
  </si>
  <si>
    <t>…Tálamanca en precio de 11® rs., su fecha 28 de Setiem bre de 1646. 28. Egecutoria expedida por el Real Consejo de Hacienda en 5 de Di ciembre de 1622 en favor de Lorenzo1 Macedo y Doña Clara Fernandez de Hoyo su muger, vecinos de Navalcarnero, en el pleito seguido con el señor fiscal y otros consortes sobre ser exentos de pagar alcabala y otros derechos por el privilegio concedido á Juan Fernandez Ibañez de Siera de Lubio, re frendada de D. Pedro Alonso Riero. 29.…</t>
  </si>
  <si>
    <t>Hoyos, Josef de</t>
  </si>
  <si>
    <t>Josef de Hoyos</t>
  </si>
  <si>
    <t>25® * . • ^ .... 19. Escritura de transapíoñ, ajuste y concierto, fundación de censo al reT "dimir por D. Josef de Hoyos, patrono y testamentario de la disposición y obra pia que mando fundar Bernardo Santiago Vi Ilota, ugier que fue de sa leta de S, M., ante Pablo Soto de.Velasco, escribano de provincia , fecha eñ Madrid 27 de Noviembre de 1696. - 20. Testamento de Doña María.…</t>
  </si>
  <si>
    <t>Hoyos, Luciano de</t>
  </si>
  <si>
    <t>Luciano de Hoyos</t>
  </si>
  <si>
    <t>43° la oficina de renovación á virtud de reclamación del referido D. Luciano de Hoyos; con apercibimiento de que pasado dicho término sin haber comparecido les parará el perjuicio que haya lugar. Quien quisiere hacer postura á una casa sita en esta corte en la calle de S. Fran cisco y Válgame Dios, distinguida con el núm. i o de la manz. 317,…</t>
  </si>
  <si>
    <t>Hullot</t>
  </si>
  <si>
    <t>568 . 1 . mero á la Pomeranía, y con este motivo recorrerá la parte de esta provincia nuevamente, reunidaá la.Prusia. Parece que el general Hullot d’Osery, que ha pasado por esta capital con, dirección á Petersourgo, nó va encargado por su Gobierno de ninguna comi sión diplomática; y se asegura que solo va á Rusia por asuntos-de su herma na la viuda del mariscal Moreao. BAVIERA. Nurembefg 8 de Mayo. Esc…</t>
  </si>
  <si>
    <t>Humbert</t>
  </si>
  <si>
    <t>…r se ha insertado el artículo siguiente: La gaceta de Nueva-Orleans de 12 de Noviembre contiene el siguiente pasage: ,,Se ha destruido al fin el establecimiento de Galveston, y el general Humbert ha llegado á esta ciudad con su comitiva á bordo de un barco, que ha entrado en el rio como presa del buque dé los Ectadofc-Unidos, titulado la Sorpresa, mandado por el teniente Mac-Kewer-. Ignoramos la causa verda dera de la abdicación del gefe y de Ja dispe…</t>
  </si>
  <si>
    <t>Humboldt, Guillermo de</t>
  </si>
  <si>
    <t>Guillermo de Humboldt</t>
  </si>
  <si>
    <t>…14 DE SETIEMBRE DE 1819. ¡ PRUSIA. -■ . . . . Merlm 14 de Agosto. Anteayer llegó aquí el príncipe de Eíardemberg de, su quinta de Glineke para dar posesión con toda,solemnidad al barón Guillermo de Humboldt de su empleo de individuo del ministerio dé Estado, qnieW en seguida ha empe zado á trabajar en el departamento del Interior que el Rey ha puesto á su • ‘ *,cargo. ' - ’ ALEMANIA. . f Hamburgo 6 de Agosto. f Se está tratando de dar nueva Forma á: un cuerpo de…</t>
  </si>
  <si>
    <t>Hunolstein, Félix de</t>
  </si>
  <si>
    <t>Félix de Hunolstein</t>
  </si>
  <si>
    <t>…e fecto del departamento del Sena y del Marne, al conde Germi ¡y, prefecto del departamento del Oise, al conde de Grammont de Aster, coronel de la legión de los Bajos-Pirineos, al conde Félix de Hunolstein , al vizconde de Houdétot, á nuestro primo el mariscal conde Jourdan, al conde Laforest, al conde Lacepede, al conde Latour-Maubourg, al conde de Montalembert, nuestro ministro plenipotenciario cerca de S. M. el Rey de Wurtemberg, al teniente general conde Ma…</t>
  </si>
  <si>
    <t>Hurtado, Bartolomé</t>
  </si>
  <si>
    <t>Bartolomé Hurtado</t>
  </si>
  <si>
    <t>…eron con Diego Pantoja, alcalde ordinario de Ja villa de Pinto, sobre el modo de hacer Jas elecciones de justicia, fecha 27 de Junio de 1597, refrendada por el escribano de Cámara D. Bartolomé Hurtado. - ' j-'--' } 4.0 . Escritura decensodé 272- libras, jaqueses de pensión pagaderos, con carta de gracia otorgad a. por la ciudad de Calatayud á favor del Excmo-. Sr. marques de Aitona, barón de Laguna, el cual procede del precio&lt;en que se han vendido parte de…</t>
  </si>
  <si>
    <t>Ibabe, Pedro Josef de</t>
  </si>
  <si>
    <t>Pedro Josef de Ibabe</t>
  </si>
  <si>
    <t>…1586 rs. y medio, que se vende para pago de acreedores , acuda por el juzgado de) Sr. D. Andrés OUer, del Consejo de S. M., al calde de Casa y Corte , y escribanía de provincia de D. Pedro Josef de Ibabe, dentro del término de 30 dias, contados desde su publicación, que se le admitirán siendo arregladas. Se halla vacante la plaza de médico de la villa de Auñon, provincia de la Al carria , su dotación es de 400 ducados cobrados por la justicia y casa de balde:…</t>
  </si>
  <si>
    <t>…e mes de Junio á las 12 de la mañana en la au diencia de S. S. Por el juzgado de provincia del Sr. D. Andrés Oller, del Consejo de S. M., al calde de Casa y Corte, y escribanía de D. Pedro Josef de Ibabe, se ha suscitado expe diente sobre que se conceda licencia, y con efecto se ha concedido, para vender una casa sita en la calle de la Abada de esta muy heroica villa , señalada con el num. i i® de lá manz. 365, cuya enagenacion no se puede llevar á efecto pór…</t>
  </si>
  <si>
    <t>…estar ruinosa; que se venden para pagar á un, acreedor,, acuda al juzgado de provincia del Sr. Andrés Oller, del Consejo de s:m;* sii alcalde de Casa y Corte, por la escribanía de D. Pedro Josef de Ibabe hasta el día 10 de Setiembre próximo* que es el término prefijado, qué se admitirán siendo arreciadas. ........ ' ....... . , , l": Sé halla vpeáote una dé las dos plazas de médico de la villa de Támarfte, partído/die Bacbastro, con la dotación de /á) rs. anu…</t>
  </si>
  <si>
    <t>…corriente, á las 12 en punto de su mañana, en. la audiencia del Sr. D. Andrés Oller, del Consejo de S. M., alcalde de Casa y Cor* te, que la tiene en la escribanía de provincia de D. Pedro Josef de Ibabe. A voluntad de su dueño, y en virtud de providencia del Sr. D. Manuel Josef Rubio,del Consejo de S. M., teniente corregidor de esta muy heroica yilla, por la escribanía del flumero que egerce D. Antonio Villa y Fernandez, se vende una casa en esta corte, caíl…</t>
  </si>
  <si>
    <t>…9498!- pies dé -sitio, .tasada en 374,565 rs. vn., acuda por el juzgado de provincia del Sr. D. Andrés Oller, del Consejo de S. M., alcalde de.Casa y Corte, y por la escribanía de D. Pedro Josef de Ibabe, que se le admitirá siempre que cubra dicha tasa á metálico; previnien do que para su remate está señalado el dií'19 de Noviembre próximo, á,las 12 en punto de su mañana, en dicha audiencia. En la villa de ALmoguera, provincia de Madrid, en la Alcarria, y a 1…</t>
  </si>
  <si>
    <t>…igual creación , núm. 10,142 , para qué cQñcprran á exponer y alegar de su derecho en el expediente de reclamación que se ha formado en dicho juzgado y escribanía de provincia de D. Pedro Josef de Ibabe, á instancia de D. Josef María de Urja y Alcedo; apercibidos que pasado el expresa do término sin haberlo hecho les'parara él perjuicio que haya lugar. Se halla vacante el magisterio de primeras letras de la villa de Brea, su dotación consiste en 200 ducados…</t>
  </si>
  <si>
    <t>IBábé, Pedro-j’osef de</t>
  </si>
  <si>
    <t>Pedro-j’osef de IBábé</t>
  </si>
  <si>
    <t>…de 39 dias, contados desde la publicación1 de esté aníihcÍo\ por el juzgado del Sr.°D.iAndrés!Ollerv del Consejo5 de S.M-., alcaldé de Casa y Corte, y escribanía de PrOVinélá ‘de’D. Pedro-j’osef de IBábé ¿ Jque&gt; se''de3¿dmÍtÍrán‘‘SÍendo i conformes y ar..regladas al plan que se &amp;&amp; ¡levantado’y eertifiéaóiba- de) fi^cultaii^ó qde las ¡ha recóno) cido »)Ír se le pondrán deí manifiesto. 1 &gt; 4 :’i¿' ■"; &gt; ,• J.í. Nuevo egercicio cotidiano con diferentes -oracione…</t>
  </si>
  <si>
    <t>Ibañez, Baltasar</t>
  </si>
  <si>
    <t>Baltasar Ibañez</t>
  </si>
  <si>
    <t>…o;viere convenirle. Por Reales resoluciones de 27 y 30 de Setiembre último se ha servido S. M. conceder el fuero militar y uso de uniforVne de practicante de cirugía de egército á D. Baltasar Ibañez, cirujano residente en la villa de Torrente de Cinca; á D: Carlos Mallo, cirujano establecido en esta corte; á D. Pe dro Surra y Rull, y á D. Ramón Bucelly , residente en la ciudad de Zara goza, en premio de los servicios que han contraído en la última guerra…</t>
  </si>
  <si>
    <t>Ibañez, Joaquín</t>
  </si>
  <si>
    <t>Joaquín Ibañez</t>
  </si>
  <si>
    <t>….Nicolás. Villa '8o.-Núm. ..23.1* D. N. 20. Núm.. 232. Doña P. C. 40. Núm. 233. D. E, G. 180. 1^4111.^234^ Doña Ana M. M. 10. Núm., 235. D. N. 240. Núm. 236. D. N. 3. Númeijé £37. D. Joaquín Ibañez . 109.. Núm. 238. Doña C. R. 40.'Nú». &lt;^39. -Doíi G.rP- tGo, Núm*,240. D. Josef Mauri oo* Núm. 341. Doña Anastasia* &gt;£$*13 zaíez 160. Núm. 243. D. M. L. S. C. 300. Núm, 243. ,D. Ambrosio ;Gar¿j¿ de -la Riestra- 40. Ñúm. 244.., ;D. J. Ja P.; 40; Núm. 24 5. D.…</t>
  </si>
  <si>
    <t>Ibar-Navarro, Justo María</t>
  </si>
  <si>
    <t>Justo María Ibar-Navarro</t>
  </si>
  <si>
    <t>…va en'el ConsejoEstado» Al Iínio. Sr, obispo de Tarazona, inquisidor general. Honores del mismo Consejo. A D. Manuel González Salnjon, ministro nombrado para la corte de Saxonia; ,D. Justo María Ibar-Navarro, ministro honorario del Consejo y Cámara, y D. Víctor Soret, tesorero general. "' Grandezas. ; - í, \ : •• ’ ' ’ 1 ' &gt; ■ ' ■ Al conde de Pino-hermoso de primera clase, y al marques de S. Martin también de primera clase personal. . Collares del Toison de Oro.…</t>
  </si>
  <si>
    <t>Ibarra, Diego de</t>
  </si>
  <si>
    <t>Diego de Ibarra</t>
  </si>
  <si>
    <t>…e Ju nio de 1721. 21. Traslado de la escritura de censo que otorghron Francisca Rodríguez de Aguilar y Gregorio de Vera, vecinos de la villa de Sepúlveda, en favor del muy ilustre señor D. Diego de Ibarra, de 6© mrs. en cada un año, otor gada á 9 de Abril de 1581 ante el escribano del número de dicha villa y su tierra Alonso Perez. 22. Egecutoria del pleito que ha seguido en el Consejo de Hacienda la villa de Corpa y el Sr. Fiscal con Juan Perez sobre pago de…</t>
  </si>
  <si>
    <t>Ibarra, Tomas Martínez de</t>
  </si>
  <si>
    <t>Tomas Martínez de Ibarra</t>
  </si>
  <si>
    <t>I2l8 ca, ioo. Núm. *¡16. D. Tomas Martínez de Ibarra 160. Núm. D. N. 2t&gt;. Núm. $18. D. N. 160. Núm. 519. El Dr. D. Gregorio Marín, ciirh de S. Justo de Madrid, 300. Núm. 520. D. N. 60. Núm. 521. El Sr.'cura;,dé S. Andrés de Madrid, por limosnas recibidas de tres feligreses , 60. Num. 522; IX.M. H. 20. Núm. 523.…</t>
  </si>
  <si>
    <t>Ibaseta, Josef</t>
  </si>
  <si>
    <t>Josef Ibaseta</t>
  </si>
  <si>
    <t>…te. s ' . * En virtud de providencia del; Sr. D. Manuel Josef Rubio, del Consejo de S. teniente corregidor; de esta muy heroica villa, se cita, llama y emplaza á los herede ros de.D. Josef Ibaseta, vecino que fue de esta corte, ya difunto, para que dentro de 30 días , contados desde 23 del pasado &gt; comparezcan por sí ó por medio de pro? curador en el juzgado de S. S. por lá escribanía del numero de D. Casimiro Antónicj Gómez á decir.de su. derecho y ju…</t>
  </si>
  <si>
    <t>Ibeás, Jacinto</t>
  </si>
  <si>
    <t>Jacinto Ibeás</t>
  </si>
  <si>
    <t>…cticante de cirugía de egército á D. Benito Antonio Pueyo y Vigo , cirujano residente en el Ferrol ;.y el fuero nulitar y uso de uniforme de practicante de farmacia de egército á. D. Jacinto Ibeás, farmacéutico én el lugar de Tendiíla; decla rando al mismo tiempo le ha sido muy grata á S. M. la cesión que respecti vamente han hecho de la pensión anual que con arreglo á la Real ordén cir cular dé 19 de Junio de 1815 debían disfrutar, y que se publique e…</t>
  </si>
  <si>
    <t>Idem, Antonio Cordero.’'</t>
  </si>
  <si>
    <t>Antonio Cordero.’' Idem</t>
  </si>
  <si>
    <t>…o ha participado á S. E. el comandante general d&lt; las provincias internas occidentales la cele brada con los indios tiburones y tepocas por el gobernador de la provincia de Sonora brigadier D. Antonio Cordero.’' Idem jj de Julio. LLANOS DE APAN. Oficio del comandante general coronel D. Manuel de la Concha. ,, Excmo. Sr.; Acompaño á V- E. el parte original, que con fecha 19</t>
  </si>
  <si>
    <t>Idem, P. G. de L.</t>
  </si>
  <si>
    <t>P. G. de L. Idem</t>
  </si>
  <si>
    <t>1227</t>
  </si>
  <si>
    <t>…&gt;. ¿N-, £,, . léase, 2í. Idem. Nú ni. 79* dice los Srcs,N. S. , léa$e;/e$ Sus. S7 X* Idem Núm. 259, dice ZX F.S. R., léase ,JD.. S. Á JR&lt;. Ideta Num* j dice X&gt;. P . S. de X, léase D. P. G. de L. Idem. Núm. 269seUdkétv entregados, %pors., léase 2$o. Idem el número correspondiente al 332 , dice 322. Idem Núm. 377 se dicen entrega dos abo rs., lease joo. Idam Núm. 433, se dicen entregados 7® rs., léa se yo. ■ En viriÚd de providencia "del Sr. D. 'Francisco T…</t>
  </si>
  <si>
    <t>Idiaquez, Juan</t>
  </si>
  <si>
    <t>Juan Idiaquez</t>
  </si>
  <si>
    <t>…conquistas de Tierra-firme en las Indias occidentales: 4.0 relación que hizo á su república Simón Contarini, embajador de Venecia en Madrid: 5.0 refutación que de este papel hizo D. Juan Idiaquez: 6* representación del duque de Arcos al Rey sobre la dignidad de Grandes de España concedida á los Pares de Francia: 7.° noticia del descubrimiento del volcan de Masaya en la provincia de Ni caragua. 8j° apuntaciones para la historia de los tres últimos Sobe…</t>
  </si>
  <si>
    <t>Igle, Manuel de</t>
  </si>
  <si>
    <t>Manuel de Igle</t>
  </si>
  <si>
    <t>…andado que los acreedoresé inte resados que tengan algún crédito, acción ó derecho que repetir contra dichos bfenes concursados, lo egecuten en aquel tribunal por la escribanía de D. Manuel de Igle sias García, por medio de procurador, con poder bastante, dentro, del término de 20 dias que por último seles señala K contados desde -él 25 de Junio; con apercibi miento de que en su defecto y sin mas aviso, convócácion ni emplazamiento, se_sus tanciarán los…</t>
  </si>
  <si>
    <t>Ignacio</t>
  </si>
  <si>
    <t>…secano en las cabezadas de Canaloba, sitas en el mismo término, con una fuente de agua, con sus ensanches, tasadas en 3262 rs.: una suerte de tierra secano en el pago del Pozo ‘de D. Ignacio, de 79 fanegas, con par.te de agua y pozo, valuada en 465 30 rs.: otra suerte én dicho pago, de 15 fanegas y media de secano, tasada en 8305 rs ; y últi mamente otra suerte en el pago del Boche, de cabida 3 2 fanegas y media, valuada en 35500 rs. Quien quisie…</t>
  </si>
  <si>
    <t>…secano en las Cabezadas de Canaloba, sitas en el mismo término, con una fuente de agua con sus ensanches, tasa das en 3264 rs.: una suerte de tierra secano en el pago del pozo de D. Ignacio, de 79 fanegas, con parte de agua y pozo, valuada en 46,530 rs.: otra suerte en dicho pa go, de 15 fanegas y media de secano, tasada en 8305 rs.; y últimamente otra suerte en el pago de Boche, de cabida 32 fanegas y media, valuada en 35,500 rs. Quien quisiere…</t>
  </si>
  <si>
    <t>…in la menor novedad en su importante saludé Madrid 21 de Mayo.. A R Tí cru IO DE OFÍC'í O. El Rey se ha servido conceder á D. Josef María Puig, D. Domingo Fer nandez: Campománes y D. Ignacio. Martinez.de Villeía, ministros del Con sejo Real ,, plazas en el de la Cámara Asimismo se ha dignado nombrar S. M. para una plaza del Consejo Real a. D. Joaquín Sistemes, ministro que era det Supremo de la Guerra: para la regencia de la. audiencia de Canaria…</t>
  </si>
  <si>
    <t>…secano en las Cabezadas de Canalova, sitas en el mismo término, con una fuente de agua con sos ensanches, tasadas en 3262 rs.: una suerte de tierra secano, en el pago ael pazo'de D. Ignacio, de 79 Fanegas, con parte de agua y pozo, valuada en 45»S 30 rs.otra suerte en dicho pago de 15^ fanegas de secano , tasada en 8g®5 rs.; ▼ últimamente otra suerte en el pago del Boche, de cabida 32$ fanegas, valuada en 35,500 rs. Quien quisiere hacer postura…</t>
  </si>
  <si>
    <t>IJlloave, Andrés Taboada y</t>
  </si>
  <si>
    <t>Andrés Taboada y IJlloave</t>
  </si>
  <si>
    <t>…res su muger , de 118,966 rs. de vn., fecha 29 de Abril de 1684. 23. Escritura de censo, impuesto y otorgado por la villa de Torrejon de Veíasco y vecinos particulares en favor de D. Andrés Taboada y IJlloave cino de esta corte, dé cuantía de. 1 o® ducados de principal sobre diferentes casas1 y posesiones, fecha en Madrid á 14 de Noviembre de -1672 ante Cris— tobal dé Villalba, escribano de S. M. 4 24. Cuatro escrituras y dos recibos pertenecientes á Francisco de…</t>
  </si>
  <si>
    <t>Ijon, Josef</t>
  </si>
  <si>
    <t>Josef Ijon</t>
  </si>
  <si>
    <t>…de: pies.’ Fueron -gratificados en la: clase de adorno Dv Josef Ruiz; en. la de figuras D. Benigno Álaiza , D. Josef Saenz de Sta. María y D. Ci-r riaco Verdejo; en la.de cabezas D. Josef Ijon; en la de manos D. Baltasar Te jada y y ¿ni; la de -.pies'JD. Pedro Olano. Los jóvenes de este .país -acreditan con su egemplar asistencia y esbiero que no. les ..son indiferentes las distin guidas gracias dispensadas á. esta escuela de dibujo, por la piedad…</t>
  </si>
  <si>
    <t>IL, J.</t>
  </si>
  <si>
    <t>J. IL</t>
  </si>
  <si>
    <t>…f rs. Núm. 120. El señor cura de S. Sebastian de Ma drid, por limosna de una feligresa suya., 1®. Núm. 121.D. P.320. Núm. 1224 D. F- S. 320. Núm. 123. D. F. Conejo 120. Núm. 124. D. J. IL. 18. rs. y 2-4 mr$.Núm. 125. El R. P. abad y cura de S. Martin de Madrid, por limos nas 'recibidas de los feligreses de dicha parroquia, 1882. Núm. 120. D. Lo renzo Ximenez 60. Núm. 127. Doña N. 4. Núm. 128. D. Josef Galvez 12. Núm. 129. D. A. M. H. 100. Núm.…</t>
  </si>
  <si>
    <t>Ilde</t>
  </si>
  <si>
    <t>…unidas á nuestro ministerio.” ARTICULO DE OFICIO. El Rey ha tenido á bien promover en el Real cuerpo de Ingenieros de egército de la división de Indias á director subinspector al coronel D. Ilde fonso Aragón: á coroneles á los tenientes coroneles D. Juan Bautista Jáuregui y D. Manuel de Hita, coroneles graduados: á tenientes coroneles á Don Valentín Ampudiay D. Manuel Albo, de la extinguida clase de tenientes co roneles segundos; y de la de capitanes…</t>
  </si>
  <si>
    <t>Imaz, Josef</t>
  </si>
  <si>
    <t>Josef Imaz</t>
  </si>
  <si>
    <t>…El Rey nuestro Señor se ha dignado conferir la comandancia general del campo je tiibraltar al teniente general D. Josef O-Donell; la de la proviri:cja de Tuy al mariscal de campo D. Josef Imaz; el gobierno de Gata , en Extremadura, .al capitán D. Antonio Amienta; el de! castillo de S. Felipe de la ría del Ferrol al coronel D. Manuel,¡Calderon de la Barca, que lo.era de</t>
  </si>
  <si>
    <t>Imáz, Josef de</t>
  </si>
  <si>
    <t>Josef de Imáz</t>
  </si>
  <si>
    <t>…eral. ni* al derecho de puertas, 6e-adeude y cobre con aplicación á dicho establecimiento det Crédito público. = Señalado de la Real mano. =En Palacio á 26 de Diciembre de i8r8.=A D. Josef de Imáz.”</t>
  </si>
  <si>
    <t>Imáz, Joséf de</t>
  </si>
  <si>
    <t>Joséf de Imáz</t>
  </si>
  <si>
    <t>…den imprimir y circular. Todo lo cuál se manifiesta al público para su debida confianza y tran quilidad. 5 ■ : ' - •" , -• Con fecha de 20 de Agosto último se ha comunicado por el;Sr. D. Joséf de Imáz, secretario interino de Estado y del Despacho de Hacienda, ál Exce lentísimo Sr. duque presidente del Consejo del mismo ramo la Real orden que á la letra dice asi: . „ Excmo. Sr. ; El Rey nuestro Señor se ha servido dirigirme con esta fecha el Real decreto si…</t>
  </si>
  <si>
    <t>…da, caballero gran cruz de la Real orden es pañola de Carlos m y de la de Isabel la Católica ; D. Anselmo de Rivas, consejero de Estado;T&gt;. Guillermo Hualde, consejero de Estado ; Don Josef de Imáz, del Consejo de Estado , y secretario'interino de Estado* y.del Despacho universal -de; Hacienda; D. Tomas Aparicio Saaún, miuiSTf</t>
  </si>
  <si>
    <t>In</t>
  </si>
  <si>
    <t>…ajados por D. Francisco Lacoma, pintor honorario de Cámara de S. M., y académico de mérito; y otros dos, uno de la difunta Reina Doña Marj a Isabel de Br aganza, y otro del Sermo. Sr. In fante D. Carlos Luis por el primer pintor de Cámara D. Vicente López. En otra de las salas había expuestas dos pinturas que en punto menor representa ban la resurrección y la coronación de espinas de nuestro Señor Jesucristo hechas por D. Juan Antonio Ribera,…</t>
  </si>
  <si>
    <t>Incenga, Angel</t>
  </si>
  <si>
    <t>Angel Incenga</t>
  </si>
  <si>
    <t>…cepción Gerónima. Stabat mater i tres voces, con acompañamiento de violiries, violas y bajos, com puesta y dedicada á S. A. S. el Sr. Infante D. Francisco de Paula, por el maestro Don Angel Incenga, napolitano, grabado en partición, y estampado en papel de holanda de marca mayor, por el profesor D. Bartolomé Wirmbs, director del establecimien to de música puesto bajo la protección de la Real sociedad económica matritense. Se hallará en el despacho de di…</t>
  </si>
  <si>
    <t>Inclan, Juan Miguel de</t>
  </si>
  <si>
    <t>Juan Miguel de Inclan</t>
  </si>
  <si>
    <t>…Real Academia de S. Fernando para uso de sus discípu los, ordenado por el arquitecto'temerle de director graduado por la misma, desti nado á esta enseñanza en sus Reales estudios D. Juan Miguel de Inclan: un tomo en 4.0 á 1 ¿rs. en pasta holandesa y 8 en rústica. „ Tarifa breve y compendiosa de laReal lotería primitiva, que comprende los pre cios de todas las jugadas posibles^ y sus promesas con pocos o muchos números, y* sea en ambo solo, terno seco, terno y…</t>
  </si>
  <si>
    <t>Indaburu, Juan</t>
  </si>
  <si>
    <t>Juan Indaburu</t>
  </si>
  <si>
    <t>…ero de D. Jacinto Gaona y Loeches, que se ad mitirán las que hiciesen siendo arregladas. - : Quien tuviesei noticia del lugar donde resida la madre de Doña Tomasa Gijon, esposa de D. Juan Indaburu, capitán quefue del regimiento fijo de Guayaquil, que han.fallecido sin sucesión, se servirá avisarlo en la calle Mayor, casa de la Estera, niiin. 8,.cuarto último-de la derecha-, lo que se Ies agradecerá, pues es para comunicaria asuntos que la interesan. Li…</t>
  </si>
  <si>
    <t>Indalecio</t>
  </si>
  <si>
    <t>…sticia, y D. Anastasio Francisco de Arraenteros, brigadier de los Reales egércitos. Mayordomos de Semana. A D. Joaquín Montenegro; D Santiago Mendez de Vigo; D. Manuel de Rosales; D. Indalecio de la Torre; conde de Zanoni, y D. Luis Nieulant y Altamirano. Honores de secretarios del Rey. A D. Josef de la Torre y Sainz, y D. Francisco Blasco y Tejedor. Plazas supernumerarias de gentileshombres de la Real casa. A D. Manuel Sainz de la Maza; D. Santiag…</t>
  </si>
  <si>
    <t>Indart, Pedro Fermín de</t>
  </si>
  <si>
    <t>Pedro Fermín de Indart</t>
  </si>
  <si>
    <t>…tes á D. Francisco Xavier de Santistéban , marques de la Vera , vecino de -la ciudad de Granada. 13. Partición de los bienes, caudal y hacienda que quedaron por falleci miento del Sr. D. Pedro Fermín de Indart y Doña María Lagrasi su muger entre sus hijas y nietos, en cuyo legajo se hallan varios documentos de casas, las hijuelas y otros papeles interesantes. ' * 14. Otro legajo de papeles y documentos de Doña Isabel Señan, muger de D. Bernardo Señan, ae la partición y división…</t>
  </si>
  <si>
    <t>Indicó, Holland</t>
  </si>
  <si>
    <t>Holland Indicó</t>
  </si>
  <si>
    <t>apertura; y i instancia de lord Holland Indicó el secretarlo de Estado que las condiciones del ultimo empréstito francés se hallaban entre estos papeles*’ y que los documentos relativos á las negociaciones sobre él tráfico de negros se manifestarían á su tiempo á ia Cámara. CAMARA 3&gt;E LOS C Ó MURES. Sesió…</t>
  </si>
  <si>
    <t>Ines</t>
  </si>
  <si>
    <t>t.e por la escribanía-' citada dentro del término de jo días, contados desde el de la publicación. D. Cayetano, D. Andrés,,Doña Ines, Doña Petronila y Doña Manuela Benito solicitan se íes declare^ herederos abintestato de su hermano D. Félix, vecino que fue de esta muy heroica villa; y por providencia del Sr. D. Angel Fernandez de los Ríos, del Consejo de S. M., teniente primero de corregi…</t>
  </si>
  <si>
    <t>Infan</t>
  </si>
  <si>
    <t>…taron por tres veces viva el Rey. En. seguida dichó, maestre ele ,1a lancha brindó por la salud del Sr. Infante D. Carlos,y la SéfmaóSra... Infanta su augusta esposa, y por la del Sr. Infan te D, Francisco de Paula, y S. A. S. su augusta esposa, en cuyo obse quió tenían el honor de hacer aquella’ fiesta marítima. Concluida esta cere monia volvieron á hacer otras dos corridas, continuando sus canciones alusi vas á una fiesta tan plausible; y por…</t>
  </si>
  <si>
    <t>…o de dicho establecimiento, leyó una oración inaugural facultativa sobre ia historia y progresos de la cirugía es pañola , cuyo discurso tuvo también el honor de dedicar al Sermo. Sr. Infan te, como una débil prueba del agradecimiento del colegio á la alta distinción con que se miraba honrado* El Sr. D. Angel Fernandez de los Ríos, del Consejo de S. M-, primer teniente ife corregidor de esta muy heroica villa, y el R* P. Fr. Gaspar de S Ildefons…</t>
  </si>
  <si>
    <t>Infante</t>
  </si>
  <si>
    <t>…ones elementales de química teórica y práctica , para servir de base al cutr so de las ciencias físico-químicas establecido en el Real Palacio bajo la dirección de S. A. Serma. el Sr. Infante D. Carlos: tomo v. Se hallará con los anteriores en el despacho de la imprenta Real á 26 rs. en rústica y 30 en pasta. “ E11 virtud de providencia del juzgado de esta capitanía general de Castilla la Nue va *se cita, llama v emplaza á los herederos y demas interesados…</t>
  </si>
  <si>
    <t>…la de Sto. Domingo, y de Vizcaíno, calle de la Concepción Gerónima. Stabat mater i tres voces, con acompañamiento de violiries, violas y bajos, com puesta y dedicada á S. A. S. el Sr. Infante D. Francisco de Paula, por el maestro Don Angel Incenga, napolitano, grabado en partición, y estampado en papel de holanda de marca mayor, por el profesor D. Bartolomé Wirmbs, director del establecimien to de música puesto bajo la protección de la Real sociedad económica matritens…</t>
  </si>
  <si>
    <t>….será en fines de Mayo ¡próximo. .; Método fácil y prácticp;para aprender con toda perfección á tocar el forte-plano conforme al último que se sjgue en París, dedicado ;al Sermo. Sr. Infante D. Francis co de Paula , especial protector del noble y bello arte .de la música. Los que sepan el solfeo, y quieran dedicarse al estudio de ¡dicho instrumento, conseguirán poseerle con solo el auxilio de este método y pocas lecciones de un maestro ; siendo asimismo fá…</t>
  </si>
  <si>
    <t>436</t>
  </si>
  <si>
    <t>…á pesar de su corta edad de 16 años, mostró su aplica ción , bizarría y aptitud para la noble profesión que había emprendido: asi es que á poco tiempo fue promovido por el Sermo. Sr. Infante D. Felipe, gene ralísimo de las armas del Rey su augusto Padre destinadas á la expedición de Italia, á capitán del regimiento de Soria por su Real despacho dado en Milán á 17 de Enero de 1746. En este regimiento continuó su carrera sin intermi sión, ascendiendo por la…</t>
  </si>
  <si>
    <t>451</t>
  </si>
  <si>
    <t>451 fío, mayor Jomo mayor del Sr. Infante D. Francisco; y la gran cruz de San Fernando y del Mérito al teniente general conde de Casa-Sarria. Circular del Consejo Real. . Por el Excmo. Sr. D. Juan Lozano de Torres, secretario de Estado y del Despacho de Gracia y Justicia, se ha comunicado al Consejo con fecha 8 d…</t>
  </si>
  <si>
    <t>…es , ha participado al Sr. marques de Casa^-Irujo, primer ^Secretarles interi— nq de Estado, la plausible noticia de- haberse celebrado en 'aquella corte el matrimonio del Sétimo. Sr. Infante D. Francisco de Paula con la Serma. Seño-’ ra Infanta Doña Luisa Carlota de Nápoles el dia 15 de Abril próximo pasa do, á las ii de la mañana, en la Real capilla de palacio, por poderes qué dió S. A. el Sermo¿ Sr. Infante al Sermo. Sr. Príncipe de Salerno. Asistieron á tan solemne…</t>
  </si>
  <si>
    <t>…nto á las cuatro esquinas, manzana 312, número ij, coarto principal. ' - Colección de disertaciones sobré varios puntos agronómicos, leídas muchas de ellas á presencia jdel Sermo. Sr. Infante D. Garios en la cátedra de agricultura del Real jardín Botánico de Madrid, y cómpüestas por los alumnos matriculados de ella. Siglos há qüe deseábamos y se confesaba la necesidad dé sujetar á un método científi co lá agricultura; pero tan'gloriosa empresa estaba reserv…</t>
  </si>
  <si>
    <t>…o á los niños con un distintivo» encarnado» Madrid 17 de Mayo. ARTICO I. O DE OFICIO. Queriendo el Rey nuestro Señor dar una nueva prueba de afecto á su au gusto Hermano el Sermo. Sr. Infante D. Francisco dé Paula, y un poderoso impulso á los conatos laudables con que las sociedades de Amigos del país promueven los importantes objetos de pública utilidad para que fueron insti tuidas , se ha servido S. M* nombrar á dicho Sermo. Sr. Infante protector y president…</t>
  </si>
  <si>
    <t>…e de ayer dio el Excmo. Sr. D. Pedro Gómez Labrador, em bajador de S, M. Católica cerca dei Rey nuestro Señor, un magnífico baile en celebridad de las faustísimas bodas del Sermo. Sr. Infante de España D. Fran cisco de Paula con la Serma. Sra. Princesa de las Dos Sicilias Doña Luisa Car lota. Aunque la casa del embajador es muy espaciosa, no bastaba sin embargo su buque interior para una función de tan grandioso aparato, que debían hon rar con su augusta presencia…</t>
  </si>
  <si>
    <t>…ste mes á las cinco de la tarde fondeó en el puerto de Bar celona el n^vío napolitano conductor de la Serma. Sra. Princesa de Nápoles pona Luisa Carlota, augusta esposa del Sermo. Sr. Infante D. Francisco de Paula, é inmediatamente el marques de la Lapilla y Monesterio, Mayor domo mayor de SS. AA1, y autorizado con plenos poderes por el Rey, nues tro Señor para recibir á la Real Persona i pasó á felicitar á S. A. por su próspera navegación, y besar su Real mano. Habién…</t>
  </si>
  <si>
    <t>…había señalado; la hora 1 de las seis de la mañana siguiente para continuar su vh^ge 4 S. Felipe, r . &lt; - El 14 del pasado S. M., acompañado de su augusto hermano el Serení-1 simo Sr. Infante D. Francisco de Paula , y del capitán de guardias de; su Real* Persona, sé dignó visitar la Real fábrica de Martínez , platería de Cámara de S. M , donde se hallaban reunidos todos los artistas dependientes de ella, y treinta y tantos disdpúlóS divididos én cuatro clases, quienes…</t>
  </si>
  <si>
    <t>…o tuvo la Real, sociedad económica de Amigos- del país de esta corte la alta honra d,e que concurriera por primera vez á sus sesiones su dignísimo protector y presidente el Sermo. Sr. Infante D. Francisco de Paula Antonio. Nombrado per su augusto Hermano el Re* nuestro-Señor para proteger y. presidir los trabajos de aquella corporación patriótica , quiso S. A. darles nuevo impulso con sü Real preserria , y para ello se trasladó al anochecer á las casas consistoriales, donde aq…</t>
  </si>
  <si>
    <t>…14 DE JUNIO DE 1819. ARTICULO T&gt;% OFICIO. * El idía 11 de este mes á las 9 de la noche se celebró en el Real palacio la gran Ceremonia de los desposorios de SS. AA, RR. el Sermo. Sr. Infante Don Francisco de Paula y la Serma, Sra. Infanta Doña Luisa Carlota. Llegada dicha hora, y preparado S. M. para salir al salón del trono, fueron desde el cuarto los dos gentileshombres mas antiguos * con cuatro ma yordomos de semana y dos ugíeres á avisar á la Serma. Sra- Infanta; a…</t>
  </si>
  <si>
    <t>■* r . J'f:; J &gt; 592 A ía hora señalada se vistió este con amito, alba, cínguío, estola y capa iriaí, con la y lueg^-:salió-'élt^dtrnóV'^«í©'^fi3fe‘?él;-Se|étKpi simo Señor Infante D. Carlos, acompañado de cuatro grandes, cuatro ma yordomos de semana, cuatro gentileshombres de-boca y dos ugíerej, a bqs-$ car a la Serma. Sra. infanta, y con la’mísma comitiva* volvió -conduciendo a S. A.: detras iba el marques de la Lapilla yMonesterio como encarga…</t>
  </si>
  <si>
    <t>…l Real poder; y cumplien do el* marque^ de la i Lapilla'con la obligación 'que contrajo por el referido sctoydiáho la ^eñitrega-íde ?laiReal Persona de la &gt;Sra; Infanta á S. A. el Señor Infante D. Francisco, y S. A. dijo admitía y recibía, y coñ-toda veneraciónse entregaba de taSra/ínfanta Doña Liiisa'Carlotá; su Esposa ; y S. M. el Rey nuestro ’Señor j, em vista de esta declaración del Sí.' Infante , apartando, co mo apartó desde luego y al referido, marques de…</t>
  </si>
  <si>
    <t>…el que se refiere la conversación que tuvo Napoleón Bonaparte con dicho judío errante cuando este pasó, á la isla de Sta. Elena en el anó de 1817un tomo en 8.°, dedicado ai Sermo. Sr. Infante D. Carlos María-Isidro de Borbon por su autor D. Luis Fris Ducos. Para recomendar este libro -basta decir que está escrito con la misma exactitud é imparcialidad que ge advierte en las demas obras &lt;3 el autor, -á-saber: Ja^pcrsceisdbü de.la»iglesiajpor ¡Napoleón Bonaparte; el origen de la re…</t>
  </si>
  <si>
    <t>…ntas Rea les del partido celebraron ayer en la ría una diversión pública, conocida en este p ais neón el nombre de Salea, en celebridad del augusto matrimonio de’ S. A.R.el Su mo. Sr. Infante D. Francisco de Paula. Esta fiesta fue conce-rdida y anunciada al público’por edictos, que el ayudante militar de Marina de este puerro y distrito D. Manuel María de Colombres y Pariente, tenien te de navio, é ingeniero ordinario de Ja Real Armada, hizo fijar en los parages de cos…</t>
  </si>
  <si>
    <t>…; á cuya demostración los marineros remeros quitándose también sus sombreros gritaron por tres veces viva el Rey. En. seguida dichó, maestre ele ,1a lancha brindó por la salud del Sr. Infante D. Carlos,y la SéfmaóSra... Infanta su augusta esposa, y por la del Sr. Infan te D, Francisco de Paula, y S. A. S. su augusta esposa, en cuyo obse quió tenían el honor de hacer aquella’ fiesta marítima. Concluida esta cere monia volvieron á hacer otras dos corridas, co…</t>
  </si>
  <si>
    <t>…0 de Junio último se verificaron los- exámenes del primer curso de física en el Real estudio fisico-químico establecido en el Real palacio, bajo la inmediata protección del Sermo. Sr. Infante D. Cárlos- Ma¿ ría. El Rey nuestro Señor acompañado dé S. A. R. sé dignó honrarlos Coq su augusta presencia, dando un testimonio público del aprecio que les? mére^ ce este establecimiento, y del esmero con que protegen las ciencias útiles. • Los examinadores nombrados por…</t>
  </si>
  <si>
    <t>…ñor. (Q. D. G.) unamueva prueba á las innumerables que tiene dadas del aprecio que lémerecen los establecimientos de cualquier género de instrucción pública. Acompañado del Sexmo. Sr. Infante D. Cárlos María, protector inmediato de los estudios del Real colegio de Sto. Tomas de esta corte,se dignó asistir á uno de sus actos mayores de teología, que se celebró en la mañana del expresado dia 26. El numeroso y lucido concurso de los limos. Sres. obispos de Teruel, Z…</t>
  </si>
  <si>
    <t>…etiembre próximo, en la calle de Leganitos, casa nutrí. 5.0, cuart'ó principal, anté elSr. D. Josef Villar y Frontín', secretario director de las en comiendas que poseyó el Sermo. Sr. Infante D. Antonio (q. e. p. d.), y el coronel D. Juan Blasco Negrillo, contador general de las mismas ; en inteli gencia de que hasta el referido dia se admitirán las mejoras que quieran hacer se con arreglo á. las condiciones que se manifestarán, y bajo'Jas', cuales se ha. de…</t>
  </si>
  <si>
    <t>…as del reino, los del ayuntamiento, los de otras va rias corporaciones, y un numeroso concurso. No habiendo podido, asistir ersonaJmente., como tenia anunciado :S.A. R. el Sermo. .Sr. Infante Don rancisco tie Éaula , protector y -presidente .de Ja .sociedad, presidió el.actof el Excmo. Sr. «duque del Parque, director de ella, y se presentaron para ser examinados Jos «discípulos D. ^Antonio Fernandez Alvarez , D. Pedro Ramiro de la Cuesta y Cortés, D.…</t>
  </si>
  <si>
    <t>828</t>
  </si>
  <si>
    <t>…trigo, 30 ídem. 14. Jabeque S. Cristóbal, patrón Lorenzo Catalá , español, de Marsella, con carbón de piedra * azúcar y tablas, 4 idem. : ; ' ■ Madrid 18 de Agosto, ‘ ; El Sermo. Sr. Infante D. Francisco de Paula Antonio, protector de la facultad de cirugía, y de su Real Junta superior gubernativa, se dignó asis tir á esta', ypresidirla en la sesión que celebró el dia 2 del corriente Instruido S. A. con el vivo ínteres que le anima en favor de las ciencias y señaladamente de…</t>
  </si>
  <si>
    <t>…l dia 15 del corriente^ en la calle de Leganitos; nám. 5 , quarto principal, ante el Se ñor D. Josef Villar y Frontín ,.secretario director dé las encomiendas que poseyó el Sermo. Sr. Infante D. Antonio (que en paz descanse), y el coronel D. Juan Blasco ^Negrillo, contador general de las mismas; en inteligencia de que hasta el referido día se admitirán las mejoras que quieran hacerse, con arreglo á las condiciones que se manifestarán, y bajo las cuales_se ha…</t>
  </si>
  <si>
    <t>…ite fomentar la ilustración pública, aceptase con gusto los primeeos frutos de los nobles alumnos que en él se educan. Siguiendo tan lauda ble egemplo su augusto Hermano él Sermo. Sr. Infante D. Carlos María Isi dro, se ha dignado admitir bajo sus auspicios, y presidir por medio del Ex celentísimo Sr. marques de Feria , el egercicio público de matemáticas que en 25 de Agosto próximo tuvieron los caballeros seminaristas D. Manuel Qban-</t>
  </si>
  <si>
    <t>1002</t>
  </si>
  <si>
    <t>…e se anuncia ai público^para su ¡conocimiento y debida tranquilidad. ; í ' —;-------- ------------ •—’----—•—1 f 1 !.J 1 J1 ---------;-------------;—— , . A insinuación del Sermo. Sr. Infante. Di Garlos ha sido conducida á esta capital la máquina enagrande dé destilar virios porrel método continuado de baño.maría , de la que sé dio noticia en la gaceta dé 23 de Enero déLpresente año, y cuyo modelo.se dignaron entonces reconocer con el mas detenido…</t>
  </si>
  <si>
    <t>…tes, ha recibido las acostumbra das demostraciones de amor y-respeto. ’ Madrid igde Octubre. . En el día 9 del corriente cí Sr/ Infante D: Carlos María Isidro , y en el dia. 11 el Sr. Infante -D. Francisca deBáula, tuvieron -la dignación de visitar con sus Serenísiínas Jísposas. lia Real biblioteca dé’ S. M.,,colocada reciente mente en la casa contigüa al colegio!denDoña María de Aragón. SS. A A. ma nifestaron suma complacencia ai ver que un estab…</t>
  </si>
  <si>
    <t>…ueve de Ma drid en coche para este Real sitio, montó ai llegar á él á caballo, y siguió sin detenerse al encuentro de S. M. la Reina, á quien salieron también.á'es perar el Senno. Sr. Infante D. Francisco con su Esposa. Reunida toda la Familia Reai , entró á la una del dia en este Sitio , y pasando por bajo, de un arco rústico, vistosamente adornado, del cual pendía un globo en figura de granada ¿ se abrió este al paso dé la Reina, y apareciendo repentinamente…</t>
  </si>
  <si>
    <t>…rsonal. . Collares del Toison de Oro. Al duque de Alagon, capitán de Guardias de la Real Persona, y al mar ques de Villanueva de Duero ,' eortde de Vitlaríezo, mayordomo mayor del Sr. Infante D. Cárlos. ■ : Grandes cruces de la orden de Carlos ui. A los cardenales P. francisco Antonio Gardoqui y D. Dionisio Bardají, J). Bernardo tísorio, chantre de la santa-iglesia de Sevilla ; duque de Híjar; marques de las Hormazas", consejero de Estado, y aí barón de Fri…</t>
  </si>
  <si>
    <t>…maestranza, y set ha dignado expresarlo asi al señor-duque para que se lo comunique. 1*3 Real academia* de S. Fernando, con previa aprobación, del Rey nues tro Señor y del Sermo. Sr. Infante D. Carlos María , gefe principal de ella y de todos los establecimientos de nobles artes del reino , ha hecho al público la exposición anual de sus salas de pinturas, estatuas, bajos relieves, grabados, ínodelos, planos de arquitectura y demas preciosidades artísticas, que p…</t>
  </si>
  <si>
    <t>ii 54 riísima Sra. Infanta Doña María Francisca dé Asís, y un S. Gerónimo pinta do al oleo con gran perfección por el Sermo. Sr. Infante D. Francisco de Pau la. -Adornaban ademas aquella sala dos retratos del Rey nuestro S.eñor, uno de medio cuerpo al natural y otro mas pequeño dé cuerpo entero, igualmente ue otros compañeros del Sermo. Sr.' Infante D. Carlos y de la Serma. Señora ? nfanta Doña María Francisca, t…</t>
  </si>
  <si>
    <t>…paso del Tánaro por las inmediaciones de Módena,, y en seguida por las montañas de S. Pelegrino y ribera de Génova , uniéndose en campo Marone con parte del egército al mando del Sr. Infante D. Felipe en Moncerrato, habiendo pre cedido una acción en el pueblo de Boltacho, que estaba fortificado, y en la cual se hizo prisionera la mayor parte de su guarnición; en él sitio y toma dp .Tortona y su castillo; de la plaza de Sarrabal y de las de Plasencia y Paví…</t>
  </si>
  <si>
    <t>…cirugía-médica , establecido en la corte con el título de San Garlos, en que por la primera vez tuvo la satisfacción de ver presidida su aper tura anual de estudios por el Sermo. Sr. Infante D. Francisco de Paula, pro tector de la cirugía , quien con su natural modestia y agrado se dignó escuchar la arenga que le diriuió el Dr. D. Agustín Frutos, felicitando á la cirugía es pañola y á los colegios de la misma facultad por la gracia inapreciable que un Re* magnánimo y…</t>
  </si>
  <si>
    <t>Infante, Miguel</t>
  </si>
  <si>
    <t>Miguel Infante</t>
  </si>
  <si>
    <t>…ósl 20 menores restantes á D. Francisco Molina, al guardia de la Real Pérsona Di Jo sef V idaurre, D. Rafael Rico, D. Celestino Arel lañó, D. Josef Jiménez, Don Juan Pedro Isr.si, D. Miguel Infante, D. Josef Aguirre, D&gt; Alonso Reina; D Josef Garci, D. Ramón Porta, D. Francisco Marín, D. Manuel Capace te , D. Josef Morales , D. Matías Michana, D. Gregorio de Casadevals, Don Miguel Fassia, D. Manuel Gómez, D. Miguel Reina y D. Manuel Rojas. - Valladolidá'…</t>
  </si>
  <si>
    <t>Iñigo, Juan Antonio</t>
  </si>
  <si>
    <t>Juan Antonio Iñigo</t>
  </si>
  <si>
    <t>…Núm. 609. El limo. Sr. deán y cabildo de la santa iglesia catedral de Calahorra 1500. Nú mero 610. Los cuestores del cuartel de Avapies, por la demanda semanal, 2300. Núm. 611. El Sr. D. Juan Antonio Iñigo, inquisidor de la Suprema, 1100. Núm. 612. D. N. 10. Núm. 613. El¡ limo. Sr. deán y cabildo de la santa iglesia catedral de Badajoz 640. Núm. 614. El limo. Sr. deán y cabildo de canónigos de la catedral de "Valencia dos vales comunes de 300 pesos. Nú mero 615…</t>
  </si>
  <si>
    <t>Inquisición</t>
  </si>
  <si>
    <t>…gusto en lace con la Serma,. Sra., Doña María Josefa db Saxonia la ciudad de Vitoria, representada por D. Raimundo Ettenhard y Salinas, del Consejo de S. M. en el de la suprema, y general Inquisición , y el brigadier de los Reales egércitos D. Redro de la Cuesta; el primero dijo: SkSor : ,,La M. Nv y M. L.'eiudad de Vitoria, cabeza de la provincia de Alava, noblemente orgullosa por haberla cabido la feliz su.erte de haber sido la pri mera ciudad del reino…</t>
  </si>
  <si>
    <t>…tih, colector general de Espolios y Va cantes, consejero honórário de Estado, arcediano de Madrid, y los canónigos D. Gabriel de Hevia y Noriega, decano del Consejo de la suprema -general Inquisición, y D. Cayetano Campos, cura del Real palacio, y ministro ho norario, del misino Consejo , tuvo la honra de felicitar ¿ SS. MM. por su au gusto y dichoso enlace, y besar sus Reales manos. ARTICULO D F. OFICIO. , EJ Rey en consideración al mérito y circunstanci…</t>
  </si>
  <si>
    <t>Inquisidor</t>
  </si>
  <si>
    <t>…ade Cárlos iii ; D. {Cris tóbal Bencomo, arzobispo de Heraclea; del Consejo y Cámara de Castilla* caballero gran cruz de la orden española de Carlos &lt;in. y confesor de .-SLjMw? el obispo Inquisidor general;; conde de Fuentes, teniente general délos Reales egércitos y capitán de la Real compañíá dé guardias de Alabarderos; duque del Infantado, teniente general de Jos. Reales egércitos, coronel dd primer regimiento dé Reales guardias de infaritería Españo…</t>
  </si>
  <si>
    <t>Inzenga</t>
  </si>
  <si>
    <t>…á 20: doce cancio nes españolas con acompañamiento de piano-y guitarra, del caballero Moreti* á 80: cabatína de Rossini Tu que resides, para guitarra, á 6: gran marcha fúnebre dd profesor Inzenga para piano forte, á 6: tema con variaciones para ídem del profesor Codina, á 8: adagio para ídem de Cramer,_ á ú: divertimiento para ídem del pro fesor Córdoba, á 9: rondó para ídem del mismo, á 6% polonesa para ídem dtel caba llero Rowlewsky,i 4: tres dups p…</t>
  </si>
  <si>
    <t>Ipsilanti</t>
  </si>
  <si>
    <t>ya antes tuvo el mismo nombramiento por la' defección del príncipe Ipsilanti; pero no se le confirmo /cuantió ios rusos restituyeron la Valaquia á-ia Puerta; Excitan en Badén algunas'inquietudes los proyectos eventuales de ia Ba tiera v se habla mucho de las gestiones que la corte de Munich ha hecho en Viena cerca de los Emperadores d…</t>
  </si>
  <si>
    <t>Iq</t>
  </si>
  <si>
    <t>bajos, á cuyo fin se la remitirán sin pérdida de tiempo todas las causas de competencia i pend¿ei?jtes - eji j Ías-*epr^tarí^s- deLDespacho.* ,J)e otden del Ret nuestro Señor Iq&gt; comunico á yi; jpat:ar&lt;}ue se sirva, disponer lo córresponi.diente ai mas pronto y puntual cumplimiento de esta; soberana determinación, ..avisándome de haberlo asi secutado-; y despera, S. M:. dej zelo de V&gt; E. que toma rá las providencias mas oportunas par…</t>
  </si>
  <si>
    <t>Iriberrí, Pedro Fermín de</t>
  </si>
  <si>
    <t>Pedro Fermín de Iriberrí</t>
  </si>
  <si>
    <t>…redes conde de Illas; marques de Cárdenas de Montehermoso; marques de Palmerola; marques de Villacampo, y conde de Casal. ~ ^ Idem con, entrada. Al Marques del Cerro de la Cabeza; D. Pedro Fermín de Iriberrí, gober nador de Orihuela; D Hermenegildo de la Fuente y Querejazu, hijo político del conde de S. Xavier; D. Fernando Mesía y Chacón, alférez de la ciudad de Ubeda; D. Antonio María Montenegro y Carantoña, coronel del regi miento provincial de Orense; D. Josef…</t>
  </si>
  <si>
    <t>Irigoyen, Manuel de</t>
  </si>
  <si>
    <t>Manuel de Irigoyen</t>
  </si>
  <si>
    <t>…por jubilación de D. Francisco Xavier Esterripa, á D. Fran cisco Xavier Manzanos: para la plaza de alcalde del‘Crimen de la Real au diencia de Lima » vacante por fallecimiento de D. Manuel de Irigoyen, a D. Vicente Ródrigiiez Romano: para la alcaldía mayor de Nata, en la pro vincia de Panamá, vacante por cesación de D. Víctor de la Guardia, á Don Julián María Bergído: para el corregimiento del Asiento de Ambato, en la presidencia de Quito , al coronel grad…</t>
  </si>
  <si>
    <t>Isa, María</t>
  </si>
  <si>
    <t>María Isa</t>
  </si>
  <si>
    <t>…sus justas alabanzas. San Sebastian 28 de Febrero. Habiendo recibido esta ciudad de oficio el 18 del mes próximo pasado la infausta noticia de la muerte de la Reina nuestra Señora Doña María Isa bel Francisca de Braganza acordo celebrar solemnes exequias en sufra gio de su alma, con la pompa fúnebre y aparato que ha acostumbrado con todos los demas Soberanos, a lo menos desde la muerte de los Reyes Católi cos D. Fernando y Doña Isabei, de que hay raz…</t>
  </si>
  <si>
    <t>…ncia no serán recibidos por los editores. Oración fúnebre que en las solemnísimas exequias, celebradas éñ'ésta corté á ex pensas del Rey nuestro Señor por sú amada Esposa la RefNa Doña María Isa bel de Braganza. y de Borboñ, pronunció el Dr. D. Francisco Antonio González, bibliotecario mayor honorario, y predicador de S. M., individuo de varias academias, y rector del hospital de la Latina; Véndese á 4 rs. en la librería de Perez , calle de las Carre…</t>
  </si>
  <si>
    <t>Isa-s, María</t>
  </si>
  <si>
    <t>María Isa-s</t>
  </si>
  <si>
    <t>…s, fijas y combinadas que á to do el que tenga un regujar oído le es facilísimo aprender á templé; sp precio 4 rs.i=v Canción fúnebre á la grata memoria de la Reina nuestra Señora'Doña María Isa-s beli&gt;e Braganza (qí e.‘e. g.), con acompañamiento dé piano, por X). Mariano Ledesma: su precio 6 rs.dr Marcha fúnebre á la grata memoria, de la Reina nuestra" Señora Doña María Isabel de Braganza (q. e. e. g. ), compuesta para piano por A.-F. deOÓrdoba: su pr…</t>
  </si>
  <si>
    <t>Isabe, María</t>
  </si>
  <si>
    <t>María Isabe</t>
  </si>
  <si>
    <t>…Ma drid, en el convento,de religiosos Agustinos calzados; de ,S. Felipe el Real, el dia 4 ele Marzo del presente año, por la sentida muerte de nuestra augusta Soberana la Se ñora Doña María Isabe l Francisca de BráóanzA y de' Borbon , Reina Católi ca de las Éspañas, pronunció' el R. P. Fr. JoSef Juan González, secretario general clel órden de S. Agustín.,Se hallará en la librería de Berez, calle dé las Garxetas.y de i í f' 'Orea, frente á S. Luis : ,s…</t>
  </si>
  <si>
    <t>Isabel</t>
  </si>
  <si>
    <t>…Título por donde pertenece á la villa deLopora las casas de Ja tercia que están en la plaza, que de presente lindan con la esquina de la lonja de la plaza y casas dei mayorazgo de Doña Isabel y Doña María de Casada Car nalejo, en el año de 1560 ante el escribano publico Diego de Quintana* 33. Escritura del vínculo y alimentos de P. Alonso "Velez de Guevara, caballero del hábito de Santiago, vecino de Jerez de la Frontera, cuya escri tura está otorgada en 25 de Abril de 1652…</t>
  </si>
  <si>
    <t>…hija de D. Matías y de Doña Catalina., por la cual decidieron las-diferencias-y agravios que su ponían Reinoso y Doña Catalina haber experimentado en la partición que entre esta y Doña Isabel se hizo de los bienes de D Matías, á la que se. ha llan unidas varias escrituras de casas en la calle Mayor, y reconocimiento de censo. 17. Escritura de venta judicial de unas casas y tres viñas que fueron de Ines González de Vallarna, viuda de Domingo Juárez…</t>
  </si>
  <si>
    <t>Isabel', Maiíia</t>
  </si>
  <si>
    <t>Maiíia Isabel'</t>
  </si>
  <si>
    <t>…asta y 18 en rústica , y también se vende el cuaderno de muestras solo á 9 rs. Relación de las exequias celebradas por los Grandes de España en sufragio de fa Reina nuestra Señora Doña Maiíia Isabel' toE Brag&amp;ñza, y oración fúnebre que en ellas dijo el Lící D. Antonio "García Bermejo , déFConsejo de-S.? M., su capellán de honor, y predicador de número &amp;c. Se hallará á 4.rs, en la librería de Brun , fren te á las gradas de S. Felipe el Real.z=A beneficio d…</t>
  </si>
  <si>
    <t>Isabel, María</t>
  </si>
  <si>
    <t>María Isabel</t>
  </si>
  <si>
    <t>…us ramos desempeñó á su satisfacción, mereciendo en todo su particular , distinguido y Real aprecio. Guando ocurrió la funesta y nunca bien sentida muerte de nuestra augusta Reina Doña María Isabel, acreditó su gran virtud y singular talento, pues que penetrado su corazón de la mayor pena, dió las órdenes convenientes, y asistió a todos los actos que pedia su destino, sin que faltase nada de cuanto exigía el decoro debido al Real ca dáver en sus entrega…</t>
  </si>
  <si>
    <t>…rnando vii , y el mismo Sr. presi dente recibiese de S. M. los avisos de aquellas, acordó la ciudad se celebra sen sus exequias en seguida de las de nuestra difunta Reina y Señora Doña María Isabel; y asi se verificó en los dias 8 y 9 del corriente en la misma forma y con igual concurrencia que en la anterior. De esta manera la antí— qüísima é ilustre ciudad de Guadalajara, que por tantos títulos ha manifesta do su lealtad en todos tiempos, ha dado esta…</t>
  </si>
  <si>
    <t>…elo,.; música del céiér bre maestro Rossini: upa? polaca, para piano-forte, del caballero Mirechi, ty una marcha^ fúnebre á la temprana y sentida mqerte de la Rbiña nuestra Señora Doña María Isabel pe ^raganza i q. e* e. g.4 del maestro Á. Inzenga, napolitano.- En los álmacéñes de música de la cálle dél Turco y carrera de S. Gerónimo , y en toda» '-fes capitales &lt;ftt réiribJ sé suWtíbe'á di^ho périodibo, y scEairan deventa coléccio“hés óo'Thplétasrde lo…</t>
  </si>
  <si>
    <t>…está formada por un testigo ocular é inteligente, ; Arroyjo dél Pumo 10 de Marzo, Luego que llegó á esta villa la funesta noticia.de la temprana muerte dé la Reina nuestra Señora Doña María Isabel pe Braganza , que llenó de consternación á todos;sus habitantes, ei alcalde de primer voto por el estado noble coronel D. Juan Manuel Marín propuso en aquel ayuntamiento que se hiciesen las mas solemnes exequias, á lo cual, se prestó desde luego esta corpo ra…</t>
  </si>
  <si>
    <t>…o, tan amante de süs Reyes como constante en dar testimonios de su lealtad , dispuso al momento que tuvo la infausta noticia de la tempraL na y sentida muerte de su amada Soberana Doña María Isabel dé Braganza y Borbon hacerexequias fúnebres y&gt;or su alma. Con tan noble y re ligioso objeto el regente de aquella jurisdicción D. Josef Morcillo y Caprera juntó al muy ilustre ayuntamiento , quien éómisionó al presbítero D* Pedro Antonio Martínez :dé Cablera…</t>
  </si>
  <si>
    <t>Isabel-, Mar.ia</t>
  </si>
  <si>
    <t>Mar.ia Isabel-</t>
  </si>
  <si>
    <t>…Ja Ígiesf&amp;deiífcej^íjcó ftetjrjaxe^ &amp; |fra)icisco. el Orante -estaba justamente ocupada en la celebración de las religiosas y Reales exequias jpqr el alma de nuestra augusta Reina Doña Mar.ia Isabel- j&gt;e Braganza (q. e. e. g.j, se digno eLRsY^nuestro Sewr» acompañado del Excirio. Sr. duque de Alagon, visitar Real casa de Beneficencia,; de la. que fue dignísima protectora su perdida Esposa^ y con aquella, afabilidad y caridad propias de su augusto carácter…</t>
  </si>
  <si>
    <t>Isabri, María</t>
  </si>
  <si>
    <t>María Isabri</t>
  </si>
  <si>
    <t>…ciudad de Pamplona han tenido la honra de exponer al Rfcy el vivo dolor qué causó en aqüel cuerpo y todo su vecindario la triste noticia,de la muer* te de la Reina nuestra Señora Doña María Isabri, de Braganza y Bqr*bon , y de poner en sus P eales manos y las de los Sermos. Sres. Infantes Don Carlos María y D. Francisco de Paula egenipiares impresos , que contienen la relación de las- solemnes exequias que celebró en sufragio del alma de dicha</t>
  </si>
  <si>
    <t>Isidro</t>
  </si>
  <si>
    <t>…amente se determinó que por cuanto el Lie. L&gt;. Juan Velarde Corro, prebendado déla Real colegiata de esta villa, hijo de D. isidro Velardé y Doña Francisca del Corro, y hermano de D. Isidro, D. Antonio y de Doña Francisca, casada con D. Juan de la Vega Noruega, vecino del lugar de Camíjanes, y de Doña María y Doña Catalina Velarde, en su testamento que otorgó en 15 de Octubre de 1672 ante Gonzalo Cortiguera, mandó la casa que habitaba en la call…</t>
  </si>
  <si>
    <t>Isidro, Carlos María</t>
  </si>
  <si>
    <t>Carlos María Isidro</t>
  </si>
  <si>
    <t>…con? tribuido por una vez concia fCáritidádv&lt;ieJ6o® rs.;, sin limitarse á eiia su Realgenerosidad ,* que sé extenderá á mas según lo exija la necesidad. Los Sermos. Sres. Infantes D. Carlos María Isidro y D. Francisco de Pau la Antonio , siguiendo el egémplo de su augusto Hermano, se han dignado tam bién permitir que se? ponga sü respetable nombre entre los contribuyentes para este ¡piadoso; objeto, .siéndolo SS. -AA« d.e. uti -modo, digno y correspop** dienteiáisu« Ideales Eetío…</t>
  </si>
  <si>
    <t>Isidro, Gádos María</t>
  </si>
  <si>
    <t>Gádos María Isidro</t>
  </si>
  <si>
    <t>…ministros y generales que había- nombrado Sí M como testigos y coma, asistentes á tan augusta; ceremonia. Reunidos to dos se presentó’ S. *MJ acompañado de^ los Sres. -Infáhtes:. D. Gádos María Isidro ; Doña María Fnaücisca de Asís yD. Fxanciico deJPaula y Doña Maií» /’</t>
  </si>
  <si>
    <t>Ismael</t>
  </si>
  <si>
    <t>…su comitiva: la carta del Emperador de Pérsia iba envuelta en tela de oro. Los regalos destinados para el Rey son ^ un sable-veuyok mérito consiste en haber pertenecido al famoso príncipe Ismael, restaurador del imperio de Persiáy y uno de los abuelos de la familia rfeinantej seiy-hermosíf.imás cache miras, y una piedra; &lt;jue en concepto de los oriéntales Itiéne virtud maravillo sa para curar muchas enfermedades, y particularmente toda fespeeié de re…</t>
  </si>
  <si>
    <t>Isr.si, Juan Pedro</t>
  </si>
  <si>
    <t>Juan Pedro Isr.si</t>
  </si>
  <si>
    <t>…ue mas sobresalieron. Lósl 20 menores restantes á D. Francisco Molina, al guardia de la Real Pérsona Di Jo sef V idaurre, D. Rafael Rico, D. Celestino Arel lañó, D. Josef Jiménez, Don Juan Pedro Isr.si, D. Miguel Infante, D. Josef Aguirre, D&gt; Alonso Reina; D Josef Garci, D. Ramón Porta, D. Francisco Marín, D. Manuel Capace te , D. Josef Morales , D. Matías Michana, D. Gregorio de Casadevals, Don Miguel Fassia, D. Manuel Gómez, D. Miguel Reina y D. Manuel Ro…</t>
  </si>
  <si>
    <t>Istria, Capo de</t>
  </si>
  <si>
    <t>Capo de Istria</t>
  </si>
  <si>
    <t>…La comitiva será muy corta, y muchos del cuerpo diplomático se apro vecharán de la ausencia de la’corté para solicitar licencias temporales. Todavía permanece en, esta capital el conde Capo de Istria, á causa de la mediación que le está confiada entre esta corte y-la dev Munich sobre ios</t>
  </si>
  <si>
    <t>Iturbide, Pedro</t>
  </si>
  <si>
    <t>Pedro Iturbide</t>
  </si>
  <si>
    <t>…an con, éí* mayor'rigor, ratificando la junta sus&gt; lisopjerasjesper^nzas; de qüe no tenga otras resultas aquel acaecimiento. - 0 * ; t *4*1’ . t Tn—r s i:"- Ha Hégádo á noticia de D. Pedro Iturbide, ^comerciante; qué fue - por es pacio de 44 años en lá ciudad de (Pamplona i y - aétuaímeilte Cecinó deFfJuébli* de^'Mouguerre ¿ cercaré Bayona ,:(en; -Francijí-, -que ‘mSa kéñót# ha tenjíóJa temeraria, osadía de escribir, faltando á ía! verdad , á 0. Jüári;%…</t>
  </si>
  <si>
    <t>Iturralde, Juan Bautista</t>
  </si>
  <si>
    <t>Juan Bautista Iturralde</t>
  </si>
  <si>
    <t>…de la Guerra. La discreción y novedad de los asuntos, junta con la fluidez de los versos y propiedad del lenguage que se admira en estas fábulas, estimularon ai sobrino del autor D. Juan Bautista Iturralde á darlas á luz para no privar á la república literaria de tan apreciables ta reas, y aumentar al mismo tiempo el corto número de los que han sobresalido en éste género de literatura. Se hallarán en Madrid en la librería de Villareal, calle de las Carretas; en…</t>
  </si>
  <si>
    <t>Iturriaga, Manuel Mariano do</t>
  </si>
  <si>
    <t>Manuel Mariano do Iturriaga</t>
  </si>
  <si>
    <t>…s para santificar la muerte con las máximas de los egercicios espirituales de S. Ignacio de Loyola, obra que el céle bre jesuíta Bagnati escribió en italiano, traducida por el Dr. D. Manuel Mariano do Iturriaga: dos tomos en 4.0 menor. Se hallará en la librería de Paz, frente á las gra das de S. Felipe el Real. ES LA IMPRENTA REAL.</t>
  </si>
  <si>
    <t>Iv</t>
  </si>
  <si>
    <t>…M. 30. Núm. 324. Un ugier dé Cámara del Real cuar to y sérvidumbre del Rey nuestro Señor 80. Núm. 325. Los señores cuesto?res del cuartel de la Plaza 8757 rs. y 26 mrs. Núm. 326. D. Iv. 320. Núr mero 327. El señor cura de S. Sebastian, por limosnas recibidas de sus feli greses, 60. Num. 328. D. N. S. 20. Núm. 329. D. N. 320. Núm. 330.'Lds •señores cuestores del cuartel de Maravillas 2197 rs. y 21 mrs. Núm. 331. Una persona por mano del seño…</t>
  </si>
  <si>
    <t>Ives, Pedro de Si</t>
  </si>
  <si>
    <t>Pedro de Si Ives</t>
  </si>
  <si>
    <t>…Pedro la Puerta,;alcalde dd consejo de Navarra.- jí:ü = • ' í Asimismo S. M. se ha servido Conceder una plaza de oidor de la Real au diencia de Zaragoza, vacante por promoción de D. Pedro de Si Ives á ía ase soría de la superintendencia de la Real Hacienday á D. Santiago Baltasar de Aguirre, alcalde del crimen rdeja misma;.y para esta resulta-á D. Vicenté LagóRobíes ;'y para la plaza de fisqaí ^déf críinen cíe dicha Real audiencia á I). Pedro Pp/ro Qidon…</t>
  </si>
  <si>
    <t>IVianu.el</t>
  </si>
  <si>
    <t>…s, cpñtafes vde$áefé] en^que sé;haga.értercer anúncio'cje tcste aviso¡en la gaceta, comparezcan .en dicho su p r é m o; t rjbnn ál . p o r la escriba nía de Cámara; del cargo ; de D. IVianu.el. Abad, y por medió dé p^qferafer' con ipoder bastante j á. exponer lonque terpinfer conveniente ^obre ¡^moratoria ¡solicitada ; porJ la mefeipqada i $pn hapeycibii;qicntwq /fe qúe pasado dicho término les parará á los que no compartiesen ef;perjuicio ^que hay…</t>
  </si>
  <si>
    <t>IX, J.</t>
  </si>
  <si>
    <t>J. IX</t>
  </si>
  <si>
    <t>…J. S. 160. Núm. 77. D. N. C. 20. Núm. 78. í). Josef Ribera 3C0. Núm'. 79. Los Sres. N. S. 800. Núm. 80. D. V. R. 20. Núm, 81. D. J. F. 100. Nú mero 82. Doñá M. E. E. 300. Núm. 83. D. J. IX. 60. Núm. 84. D. Josef de Urue 4 Núm. 85. D. Gregorio Sánchez Madrid iox Núm. 86. D. Y. M. M. 100. Núm. 87. D. Francisco Antonio Bringas 2©. Núm. 88. D. C. R. 20. Núm. 89. D. Manuel Guerra 200. Núm, 90. D. I. de V. 160. Núm, 91* D N. 80. Núm. 92. D. J. M. 320…</t>
  </si>
  <si>
    <t>Iznardi, Josef</t>
  </si>
  <si>
    <t>Josef Iznardi</t>
  </si>
  <si>
    <t>1</t>
  </si>
  <si>
    <t>…es; \.rJ DINAMARCA. 1 • r * &gt; ’ J ' 1 1' i’ f. * * V £ I ' * * * / * i fCopenhague* • j r T r 1^^ f 'V * 4 f de• ‘ .^Diciembre., ^ ^ f • ^ , * EÍ ministro de España en esta .corte D. Josef Iznardi diq ayer una bri llante función en celebridad del matrimonio de su augusto Monarca, la cual honraron con su presencia S. M., S. A. R. el Príncipe Fernando y S. A. el Príncipe de Hesse-Philipsthai. ALEMANIA. ,. Ltibeck 2&amp; de Noviembreí . ’ &gt; ' Corre aquí muy v…</t>
  </si>
  <si>
    <t>Izquierdo, Andrés Sánchez</t>
  </si>
  <si>
    <t>Andrés Sánchez Izquierdo</t>
  </si>
  <si>
    <t>…reto Bueno y Montérosa , hija de D. Salvador Bueno y Doña María Montérosa , ó de sus. hijos, que en la villa de Bornos / arzobispado de Sevilla, tienen parte de una herencia. •' • D. Andrés Sánchez Izquierdo, capellán mayor de las monjas de D. Juan de AlarCon dé esta corte , dará razón donde se halla umtéstiniónio de nobleza compuesto de 39 fojas, probado y legalizado en toda forma, correspondiente á D. Luis Barona Laurino, ayudante, mayor qué fue del regimiento…</t>
  </si>
  <si>
    <t>Izquierdo, Angel</t>
  </si>
  <si>
    <t>Angel Izquierdo</t>
  </si>
  <si>
    <t>…873 rs. vn., sin incluir el valor del sitio del jardín y vasos de bodega* lo que asimismo con las tierras que se expresarán ha sido tasado igualmente en este año por el agrimensor D. Angel Izquierdo en esta forma:,las 45 tinajas, de caber 3400 arrobas, en 12,050 rs., á gf por cada arroba: el jardín * de caber 13141 pies cuadrados superficiales, con el agua de pie necesaria para su riego, .bien distribuido su terreno, con 7 parras de varias clases.cpn'sus…</t>
  </si>
  <si>
    <t>Izquierdo, Elias</t>
  </si>
  <si>
    <t>Elias Izquierdo</t>
  </si>
  <si>
    <t>…rdoñez; entendidos que pasa do sin haberlo hecho les parará el perjuicio que haya lugar. Ante el Real tribunal del consulado de comercio de Cádiz, y por la escribanía del cargo de D. Elias Izquierdo, se siguen-autos de concurso-de acreedores á D. Jo sef de Llano y S. Ginés, én los cuales por decreto de io ¡de Mayo último se ha mandado citar y emplazar á cuantos se estimen con derecho á los .bienes de dicha masa concursada para que acudan á Formalizarlo c…</t>
  </si>
  <si>
    <t>…to y demarcación , del ■cuál se goza asimismo en:las otras provincias del rei no. asi1 ¡Por decreto^del Real tribunal del consulado de comercio de Cádiz, dictado ante el escribano D. Elias Izquierdo con fecha de y de Julio, en autos número 154 del xáúo pasádo de 1812, se manda citar y emplazar á cuantos se crean con derecho á la ■masa-y concurso de acreedores de-Di’Tomas O-Gorman, y á las expediciones que re.tnp;rehdió para'el Iriafí-del Sab en lás iraga…</t>
  </si>
  <si>
    <t>…eferido término sin mas citación, ni emplaza miento, se procederá á lo demas que haya lugar en derecho. Por providencia del tribunal del consulado de Cádiz, dada ante el escribano Don Elias Izquierdo en ly de Agosto en los autos núm. 68 del año próximo pasado, que son de quiebra y concurso de acreedores á la ca¡pa;qus¿|e ha titulado en este comercio Poute y compañía, se ha mandado citar y emplazar á^u^ntos se consideren con al gún derecho á los bienes y m…</t>
  </si>
  <si>
    <t>…io que haya lugar, conforme á lo acordadoMen la.misma junta * ~ Por providencia del Real tribunal del consulado de comercio de Cádiz, dictada ante el escribano honorario de Cámara D. Elias Izquierdo, en los autos núm. 355*</t>
  </si>
  <si>
    <t>…importe, según y en los términos ■acordados en la junta celebrada en 10 del propio mes. Por providencia del Real tribunal del consulado de Cádiz, y por la escribanía •del cargo de D. Elias Izquierdo, penden autos de concurso de acreedores á D. Fer nando Saenz yS. Vicente, en los que por decreto del día 19 de Abril de este ano se ha mandado citar y emplazar á cualesquiera que se estime con derecho á la masa de dicho concurso para que en el perentorio térm…</t>
  </si>
  <si>
    <t>…o nombrada Galga con la correspondencia .para las Américas, se da este aviso al público para su gobierno. Por"providencia del Real tribunal del consulado de Cádiz, y escribanía de Don Elias Izquierdo, en expediente número 301 de este año, se ha mandado que cuales quiera personas que sean tenedoras de los vales Reales de 6oo ¿pesos, creación de Mayo, que se expresarán á continuación , sin hacer nuevos endosos de ellos los pre senten al tribunal, que admini…</t>
  </si>
  <si>
    <t>Izquierdo, Francisco</t>
  </si>
  <si>
    <t>Francisco Izquierdo</t>
  </si>
  <si>
    <t>…sto en forma de nicho para* prestar pronto socorro eht los incendios, inventado por Mr. Regnier, antiguo cónsérvadbr dei museo de arti llería de Páris , traducido ^ adicionado por D. Francisco Izquierdo, individuo de la Real sociedad económica' matritense; EL corto coste- del aparato, y las varias apli caciones de que puede ser susceptíblev Hacerr recomendable esta invención*, que; está ya en uso en muchos departamentos de la Francia:'unv cuadernito con lámi…</t>
  </si>
  <si>
    <t>J, Gregorio</t>
  </si>
  <si>
    <t>Gregorio J</t>
  </si>
  <si>
    <t>…oña Juana Perez, por idem, por 10 rs. semanales. Núm. 3.0 D. Vicente García, por un mes, con 20 rs. semanales. Núm. 4.® D. M. B., durante la epidemia, con 3 rs. cada dia. Núm. 5.0 D. Gregorio J011sansoro y Serralta y su hijo D. Julián, ayudas de Cámara de S. M., mien tras dure la epidemia, con 200 rs. mensuales. Ñiim. 6.° Juan Martin Taber nero, por idem, 12 rs. mensuales. Núm. 7.0 £&gt;. Antonio Valenzuela, por ídem, 20 rs. semanales. Núm. 8.° D. Fede…</t>
  </si>
  <si>
    <t>J, J.</t>
  </si>
  <si>
    <t>J. J</t>
  </si>
  <si>
    <t>…20. Nú mero 162. D. N. 320. Núm. 163. D. F. F. 60. Núm. 164. D. N. N. 133. Núm. ió$. Pablo de la Cuesta 10. Núm. 166. D. Josef María de Pando 500. Núm. 167. D. K. Z. 20. Núm. 168. D. J. J, J. 332 rs. y 32 mrs. Núme ro 169. D. M. P. 20. Núm. 170. D. J. H. 120. Núm. 171. Doña M. B. iock N úm. 172. D. N. 20. Núm. 173. D. Cristóbal Sorribas 4a. Núm. 174. Doña Eusebia de N. 20. Núm. 175. Doña Isabel Simón 40. Núm. 176. D. Juan Villena 40. Núm. 177.…</t>
  </si>
  <si>
    <t>J, Manuel-</t>
  </si>
  <si>
    <t>Manuel- J</t>
  </si>
  <si>
    <t>…a pensión que con arreglo á la Real, orden circular, de 19 de Junio de 1815:, .debían disfrutar , y que se publique en la gaceta para su satisfacción. En virtud de providencia del Sr. D. Manuel- J osef Rubio, de! Consejo dé S. Af. v teniente corregidor'de■ está muy heroica,villa, refrendada por el escribano dé su mjñicro D. Martin y' Vazqruéz ;.rse ‘saca á.póblicá subasta uná casa "en está corte, y su cálliedé Buenavistá“i Séiíáladá cdn el riiirn* 9 de…</t>
  </si>
  <si>
    <t>Ja</t>
  </si>
  <si>
    <t>…dente: en dicho estado se notanun hombre que ha muerto deixi años, y una muger dé 105. \ ./ ALEMANIA. . “ . . ci:- - \ : : : , ... V!mq 23 d Ffbrero^ f&gt;,5Ha causado un sentimiento general Ja noticia dé que esta ciudad se con¿vertirá eq u^aoJo,tibieza .principal ele la Con federación (^rmánica, pues estan todavía muy presentes, en,' nuestra memoria Jostriste* resultados de la guer ra para ambicionar el honor que sé nos prepara. También éitjcbie^íi…</t>
  </si>
  <si>
    <t>…ndo sentimiento en los corazones de sus habi tantes, y para demostrarlo en los términos mas propios y análogos se deter minó por el coronel D. Pascual Perez de los Covos, y por el capitán D. Ja«obo María Espinosa, retirados en dicha villa, y caballeros hacendados en la misma, celebrar á su costa unas solemnes exequias en el convento de nuestro -padre S. Francisco, lo que se efectuó en el dia 12 del corriente mes de Fe brero con asistencia del ilustr…</t>
  </si>
  <si>
    <t>Jablonowski</t>
  </si>
  <si>
    <t>…Stahremberg, ministro iresidente en Turin, irá á Florencia con el mismo carácter. El conde Apponi, ministro eft Toscana , se trasladará á Ña póles. Nuestro embajador en Ñapóles el príncipe Jablonowski pasará á Ma drid. Ei barón de Fiquelmont, nuestro ministra ea Stockol«c*&gt; reemplazará</t>
  </si>
  <si>
    <t>Jacin</t>
  </si>
  <si>
    <t>…do con la debida expresión. Por providencia del Sr. D. Angel Fernandez de los Ríos, del Consejo de S. M., y teniente primero de corregidor de esta muy heroica villa, refrendada de D. Jacin to Gaóna y Loeches, su escribano del número, se ha mandado sacar á pública subasta una casa sita en esta corte en la calle de Silva, con accesorias á la del Pozo, núm. ii, manz. 457, que tiene de sitio 2419 pies y medio, tasada en 80236 rs. Quien qui siere ha…</t>
  </si>
  <si>
    <t>Jacinto</t>
  </si>
  <si>
    <t>y teniente corregido* de esta, rmjy heroica villa ,• refrendada-de su escribano, del nu mero D. Jacinto, Gaona y Loeches, se ha mandado sacar á pública subasta por tér mino de 30 dias, contados desdé 30 del pasado, una casa sita.en la calle del Píamonte, barrio del Barquillo, núm. 18, manz. 282, tasada en 19556 rs. con 3380 pies de sitio. Quien quisiere comprar…</t>
  </si>
  <si>
    <t>…ibeta, se ha señalado él día 28 del corriente en la posada de dicho señor.; Y asimismo por providencia del citado Sr. D*. Manuel Josef Rubio, refrendada de su escribano dél número D. Jacinto. Gaona* y Loeches* se ha señalado^ el día 29 del Corriente para la junta de acreedores de Lorenzo Josef Dávila, en la citada posa da , y á la propia hora* de las nueve* .1 En la villa de Medina de Pomar, de la provincia de Burgos, se halla vacante la plaza de…</t>
  </si>
  <si>
    <t>Jackson</t>
  </si>
  <si>
    <t>…s 24 de Febrero. ; Los periódicos de Washington de fecha 12 de Enero contienen el infor me de la comisión que nombró la Cámara de los representantes para entender en el asunto del general Jackson, cuyo informe termina proponiendo una miMuta de resolución, contra la cual ha protestado un individuo d Cámara, y se reduce ;á que esta desapruebe los procedimientos seoi*' ,uzgado - militar Cpntra Alejandro Arbuthnot y Roberto Ámbrisi e muér ete que sufriero…</t>
  </si>
  <si>
    <t>…Hutchinson su caja, tomó un polvo, y se sentó, retirando su propuesta. ~ :■ Escriben de Nueva-Yorck, con fecha de 3 de Febrero, que sigue tra tándose en el congreso el asunto del general Jackson. Ha tenido este la dis creción dé rehusar las demostraciones de gratitud pública con que quería ob sequiarle una gavilla de revoltosos. • Se ha negado el Gobierno á admitir á. Mr. Deforest como cónsul general Buenos-Aires, atendiendo á quesería reconocer aque…</t>
  </si>
  <si>
    <t>…ton , Charlesíóm ySábannah paral dxaM«iarr &lt;totóUaserrsénadas yembocadurás del rio, y completar el sis tema de defensa de los diversos estados ; y añaden qué le debía acompañar el general Jackson en su vuelta por Georgia. En la sesión de la Cámara dé los Comunes del día 18 hubo una disen sión'muy empeñada entre el ministerio y la oposición^ con motivo de ha ber propuesto Mr. Tierney, que parece es el gefe de este ditimo partido,</t>
  </si>
  <si>
    <t>…entos va~ ríos cuadros de díferentoa Jáutorer,''y que se distribuyan entre los museos;^ laspigldsias; in -a-i. ¿ s¿;, r ,¡v.! &gt;s 1 n/ ; r Ha salido de Nathville para Washington el general Jackson , y dicénque está] resuelto i; retirar^ del 'servicio; militar;luego que pueda hacerlo decorosaxóeúte* gG/kG Gb qu ,, r\rr&lt; . nv/.-.m--;?,; .1 GiGiG •;* t.&gt; h i. ■''»• El general Suchtelen, hijo del ministro de Rusia residente en Stockolmo, ha salido de esta…</t>
  </si>
  <si>
    <t>Jacobo</t>
  </si>
  <si>
    <t>…e Duero; el de Bejar D- Josef Rodríguez^ en Tastrapa ; el de Quinto D. Manuel Atranz en Zaragoza; el de Ardales ÍX Juaq de .la Monja en Málaga ; el.de. Caldas de Cuntís y de Reyes D. Jacobo nuel Fernandez en éste último punto; el de Puertollano D. Carlos Romeral en esta corte , calle de..la Cruz ,• núm. 2 ;.el del Molar D. Tomas Bermudez calle de las Huertas, frente á la del Lobo; el de Solan defCabras.D..Joséf M enchero calle de la ( aíyá baje,…</t>
  </si>
  <si>
    <t>Jacon, Miguel</t>
  </si>
  <si>
    <t>Miguel Jacon</t>
  </si>
  <si>
    <t>…e, coronel D. Pedro María de Ugarte , primer ayu dante del regimiento infantería de Zaragoza. ■ En Améri&lt;;ar. &gt; La capitanía general de la isla de Puerto-Rico al martscai de campo D. Miguel Jacon: el gobierno de la provincia de Sta. Marta , en* ei: nyev.o reino de Granada*, át coronel D. Latino Fitz-Gerald, comandante^Sf'rS.^0, regimiento, de infantería de la Reina.</t>
  </si>
  <si>
    <t>Jaekson</t>
  </si>
  <si>
    <t>gabinete de Washington aceí'c.a qdií rné^itp- del-general Jaekson y¡ de la ;n$~j lidad de la última guerra con-,1qs;indios seminóles. :Dicenr que ef presidente yr el secretario dé Estado ( Mr. John Quiney Adams) están por el general, y eacontra los ministros de Guerra y Hacienda, de cuya opinión parece que es; también el pu…</t>
  </si>
  <si>
    <t>Jahn</t>
  </si>
  <si>
    <t>£22? se halla el-catedrático Jahn, quien Jia sido conducido desde Gustrin á Berlín, Se dice,qué ék nuevo congreso de Viena-debe decidir si la, comisión central de Magunciajjuzgara en primera ó en segunda instancia ó!si¡ estas atribucio nes corresponderán: exclusivamente á los tribunales del p…</t>
  </si>
  <si>
    <t>1282</t>
  </si>
  <si>
    <t>…o la Die ta de la Confederación Germánica en la sesión de 20 de Setiembre, y ha acor dado además que se impriman. - ; ; * - ■ rE’. Dicen Jos papeles públicos de esta ciudad que el doctor Jahn ha sido trasladado del castillo de Custrin á una cárcel de Berlin. ‘ AUSTRIA. ’ ............. ' Viena 12 de Noviembre. Se asegura que el Emperador ha resuelto no conceder en lo sucesivo la me dalla grande dé mérito con que se premiaban los importantes servici…</t>
  </si>
  <si>
    <t>Jáian, Tomas</t>
  </si>
  <si>
    <t>Tomas Jáian</t>
  </si>
  <si>
    <t>…e Longas; en Sevilla en la de Hidalgo; en Santiago en la de Romero; en Valencia en la de Cabrerizo; en Zaragoza en la de Sánchez; en Logroño en la de Olozaga; en Murcia en casando D. Tomas Jáian .Serrano.; en la Carolina en la administración &lt;3e Córreos;; én Granada en casa.dé t). jfosef Gonza-^ lez1 y Aguilera , jr én Salamanca en casa 3é* D/Era-ncisco Prieto de Torre. * •El conde de CorkéV ó el hombre qUe°nó cBnoce el arte dé la ihtriga -.'traducid…</t>
  </si>
  <si>
    <t>Jaime</t>
  </si>
  <si>
    <t>…ucren^aquello^, y en particular á los que se hallen con vales ó, certificaciones Je estos , scñafyiciameute de los de la fraudulenta renovación del intruso , en los que el difunto D. Jaime pufda haber tenido directa ó indirecta cualesquiera responsabilidad, ya se hayan'reclani^ d$ó no judicialmente, lo que se avisa por este periódico para que no puedan álegat ignorancia. ■ ' • ■ ' Segunda y tercera parte del arte de leer los ñiños en las escuel…</t>
  </si>
  <si>
    <t>…de Salazar, se siguen autos por parte de Doña Catalina de Sierra y Ovando, guarda mayor* de Damas.de S. M., con D. Melchor de la Guardia y de mas hermanos herederos abintestato de D. Jaime de la Guardia, sobré que la de vuelvan, la dote que llevó su hija Doña' María Teresa de Ovapdo y .Sierra al matri monio que contrajo con el D. Jaime; en cuyos autos se ha!sefvido mandar dicho su premo tribunal én providencia de. 14 de este més se cite, llame…</t>
  </si>
  <si>
    <t>…nanos herederos abintestato d® Jaimfi.de Jla Qu^dia,, sobre, que* la de vuelvan lá dote que llevó su hija Doña Marí^ l'erefta de Óvando y Sierra al matri monió que contrajo con el D. Jaime; én cuyos autos'se ha servido mandar dicho su premo tribunal en providencia de 14 ,de este mes se cite ,.llame y emplace á Don Augusto Béáuláiricoúrs, conde de Maries , !paj,alijúé en' el‘término dé 60 días, con tados désde la publicación de este uñtmcib\f có…</t>
  </si>
  <si>
    <t>…de Salazar, se siguen autos por parte de Pona Catalina de Sierra y Ovando, guarda mayor de Damas de S. M., con D, Melchor de la Guardia y de más hermanos herederos abintestato de D. Jaime de la Guardia, sobre que la de vuelvan la dote que llevó su hija Doña María Teresa de Ovando y Sierra al matri monio que contrajo con el D*. Jaime; en cuyos autos se ha servido mandar dicho su premo tribunal en providencia de. 14 de este nías, sé cité , llame…</t>
  </si>
  <si>
    <t>Jakson</t>
  </si>
  <si>
    <t>…respondencia seguida entre leí Gobierno de ‘los Estados-Unidos y él de Inglaterra con motivo del suplicio Me Arbuthifot y de Ambrister. Parece, según los mismos periódicos, que el general Jakson estaba *á punto de hacer dimisión-del mando á causa MeT deterioro de~sír salud y del estado de sus asuntos,.y se le aguardaba én Washington. El 24 de Diciembre dio sen esta ciudad el embajador dé Francia una magnífica comida y una 'fun ción brillante en celeb…</t>
  </si>
  <si>
    <t>…pañía, en desempeño dé su promesa ,^encargó á Fondrés: todos: los útiles necesarios, Jos cuales se proporcionaion' inmediatamente,, y ya vienen de camino en el navio ingles Elío , capitán Jakson; ,siendo digno del elogio de todos los hombres be néficos el ra go de generosidad con que han manifestado sus ideas filantrópi cas el cónsul de S. M. C.&gt; la aduana, el comisionado de la compañía» el ca pitán del buque, el agente, corredores, y hasta los gabar…</t>
  </si>
  <si>
    <t>Jalón, Josef Jalón y</t>
  </si>
  <si>
    <t>Josef Jalón y Jalón</t>
  </si>
  <si>
    <t>…ronel D. Angel- .de Toro , capitán del batallen de Castilla, fijo de Campeche. . Asimismo ha concedido S. M. la auditoría de guerra de la capitanía ge neral dé Castilla la Vieja á D. Josef Jalón y Jalón. —&gt;'7 ......,p, r ' ¡ w— — — mi mi» * —[ Con Real órdemde 13;de Marzo del año próximo pasado de 181S se re mitió; á consulta del Consejo , una representación que hicieron’á S. M.'én 6 de Febrero anteritir los directores de la compañía de paños de esta corteen…</t>
  </si>
  <si>
    <t>Jara, Benito Concha y</t>
  </si>
  <si>
    <t>Benito Concha y Jara</t>
  </si>
  <si>
    <t>…Cuzco, vacante por fallecimiento de D- Feli ciano laz y Pozo, á D. Patricio Gabriel Mendez; para la dignidad de arce diano de la misma sarita iglesia, vacante por fallecimiento de D. Benito Concha y Jara» á D. Manuel de la Sota y Beingolea; para la dignidad de arce♦ diano *a santa iglesia catedral de Sta. Marta, vacante por iallecimiento de</t>
  </si>
  <si>
    <t>Jarauta, Ignacio Ximenez y</t>
  </si>
  <si>
    <t>Ignacio Ximenez y Jarauta</t>
  </si>
  <si>
    <t>…banos notarios de los reinos, á nombre de todos sus individuos, i®. Núm. 497;J30n J. A. 66 rs. y 18 mrs. Núm. 478. D. G H. 20. Núm. 499. D. Francisco» Xavier Givert 100. Núm. 500. D. Ignacio Ximenez y Jarauta 20. Núm. 501. El contador y oficiales de la contaduría general de rentas decimales del reino' 880. Núm. 502. D. Fernando del Río y Mateo, de menor edad, guardia de la Per-sona del Rey nuestro Señor, 151 o Núm. 503. P. B. E. C. de H. 300. Núm. 504. El Sr. cura…</t>
  </si>
  <si>
    <t>Jarta</t>
  </si>
  <si>
    <t>…parte muestran en esta ocasión lo que siempre han sjdoacudiendo á millares á ver al Rey para expresarle de un modo libre y franco su reconocimiento y fidelidad. Con este motivo el gobernador Jarta, á la cabeza de una diputación de los habitantes de Dalecariia, dirigió á S. M. el discurso siguieute: 1 3t Señor: Desde ej feliz momento en que el voto unánime del pueblo saeéci llamó á V M. á trocar el reposo de su adquirida glqria por la tarea pe nosa de g…</t>
  </si>
  <si>
    <t>Jas, Anacleto Torón y Dblz'dió</t>
  </si>
  <si>
    <t>Anacleto Torón y Dblz'dió Jas</t>
  </si>
  <si>
    <t>…18 qxié cotílé.s^ó cón él mas vivó recbnobiñíteíitó qué todos sus conatos se difigráii al( mismo firt ^ y qué con^ióúaíiá h’átiéridó !vet que estaba poseído de lb$Hnfsmó$f;deséos. D. Anacleto Torón y Dblz'dió Jas gracias más expresiva! al- cüerpb patriótico á hombre déWs.scó'hdíS¿íptllós por la bondad con que sé les habla'óidb, y honra que se les dispensaba , la'qüe tendrían grabada eter namente én ^memoria; y ofreció qibe tbdó* seguirían en el estudio de li Vlll* AV*…</t>
  </si>
  <si>
    <t>Jaso, Pablo</t>
  </si>
  <si>
    <t>Pablo Jaso</t>
  </si>
  <si>
    <t>…uso el capital* D. Josef Peres*, del regimiento, de. Nueva- España., que le mandaba aec iden^ talmente, que el teniente del. mismpcuerpo D. Rafael -Silva y, e;P alfc/ez. de fieles D. Pablo Jaso con 2 5. infantes ¡y ,20 caballos Jos persiguiesen j ‘-y (fia efec-ito: lograrpn represar 80 cabe*aát de ganado, que-se ÍlevabanrTos-rebeldes» y; li? bertár á un paisano que iba,presor matatido 2 de la gavilia,, habiendo un pri sionero, que pagp'.con la últim…</t>
  </si>
  <si>
    <t>Jáuregui, Juan Bautista</t>
  </si>
  <si>
    <t>Juan Bautista Jáuregui</t>
  </si>
  <si>
    <t>…á bien promover en el Real cuerpo de Ingenieros de egército de la división de Indias á director subinspector al coronel D. Ilde fonso Aragón: á coroneles á los tenientes coroneles D. Juan Bautista Jáuregui y D. Manuel de Hita, coroneles graduados: á tenientes coroneles á Don Valentín Ampudiay D. Manuel Albo, de la extinguida clase de tenientes co roneles segundos; y de la de capitanes segundos, también extinguidos, á ca pitanes primeros á D. Manuel Pastor, D. Rafael de Lara y D. J…</t>
  </si>
  <si>
    <t>Javier, Francisco</t>
  </si>
  <si>
    <t>Francisco Javier</t>
  </si>
  <si>
    <t>…e Orduna sin sucesión Doña .María Francisca; Vele?, de Calera y Guindo, viuda de Santiago de Bañuclos,; y poseedora idel vínculo fundado por Catalina de Urieta, sus testamentarios D. Francisco Javier de; Pinera, el Lie. D. Cayetano Leal delbarra y E&gt;. Manuel de Furunflarena, lo avisan al publico, para que las personas que se contemplasen con derecho al expresado vínculo y demas bienes que hubiese dejado , se presenten á dichos testamentarios en la referid…</t>
  </si>
  <si>
    <t>Jbaqnia-Cm</t>
  </si>
  <si>
    <t>…l paciente i las cuatro y medía de la tarde del mismo día.,Al amanecer del 9 fue recono cido é inspeccionado el cadáver bajo las precauciones convenientes por el mó dico consultor D. Jbaqnia-Cm*W» el tdel ^zaretó D. Jorge Alzina, y el f</t>
  </si>
  <si>
    <t>JD</t>
  </si>
  <si>
    <t>…818. = Ma-* nuel BezaniIla.=Sr. coronel y comandante general D. Antonio de Linares.” Idem ir de *Julio, COMANDANCIA GENERAL DE PUEBLA Y VERACRUZ. Oficio del brigadier y comandante general JD. Ciríaco de Llano. , „ Excmo. Sr. : No hay novedad di^na dé la superior atención de É. ¿enloda la .provincia deiPuebla.que está a múcargo; ninguna gavilla de rebel-</t>
  </si>
  <si>
    <t>…ta consideración de V. E. ,, Dios guarde á V. E. muchos años. Valladoíid Noviembre 4 de 1818 = Excmo. Sr. =r Josef de Castro = Excmo. Sr. virey D. Juan Ruiz de Apodaca.” Parte del capitán JD. Josef Joaquín de la Sota* ,, En cumplimiento de la,orden de vmd* salí ayer á las iq del día con 62 infantes y 15 caballos á situarme detras de la garita vieja de los Arcos en es pera de los rebeldes que debían aproximarse por algún punto de aquellas in media…</t>
  </si>
  <si>
    <t>…Dios guarde á V. E. muchos años. Ajuchitlan Noviembre 19 de i8r§! = Exorno. Sr.=r Francisco Fernandez de Avilés. =: Exornó. Sr. virey D. jua!n Ruiz de Apodaca.” Parte del teniente coronel JD. Josef Joaquín de Herrera.. „ Acompaño á vmd., el parte original que me ha dado el teniente coronel graduado D. Josef María Martínez, relativo al encuentro que tuvo ccn el re belde Guerrero, Montesdeoca y otros en el reconocimiento que verificó d 31 dé Octubr…</t>
  </si>
  <si>
    <t>…„ ■ • 6o 7 •ijv • Diós guarde i V. E. muchos aftós. ‘Edéhte del Rey Diciembre 20 de i8i8.=Excmo. Sr. = Ciríaco de Llano.rsExcinb. Sr. vi rey conde del Vejisdito;’ % - .. Parte del coronel JD. Josef de Santa Marina. i i9 En virtiid de la orden dé V• S. de 15 del Corriente para que marchase sobre la barranca de Santa María con ibo infantas y 40 caoállos con el obje to de perseguir y aniquilar las gáyillasaerebélílfes qóe la infestaban, sus ha bitac…</t>
  </si>
  <si>
    <t>…mi deber. '7 W ' ,, Dios guarde i1 V. E. muchos años. Qelaya Enero 15 de 18Í9. ¡^Exce lentísimo Sr. = Antonio de Linares.=Excmo. Sr. virey conde del Veriadito.” Parte del teniente coronel JD. Manuel de Cimavilla. ,, El capitán D.’ Pe.dro Rey, cóntand^nte militar de A paseó, 'me avisa coñ fecha de io dél confíente i las cincoHdéTá tárdec,°^ue réunidos los rebéldés dé Jaip^ tratafón de atacar 4kho punto á las nueve de Ja mañana, hora en que creían…</t>
  </si>
  <si>
    <t>…parte. ,,Dios guarde á V. E. muchos años. Querétaro Enero 12 de 1819. ^Ex celentísimo Sr.= Josef Manuel Martínez; .= Excmo. Sr. virey cótide del Ve-^ nadito.” Parte del teniente .coronel JD. Manuel Francisco Cas anova. ,, Después de haber regresado á las 9 de la noche del 19 de conducir el interesante convoy de México al Colorado, sin que hubiese ocurrido novedad alguna, se dio la orden de marcha para el 20 en cumplimiento de la de vmd., a fin d…</t>
  </si>
  <si>
    <t>JD, Infante</t>
  </si>
  <si>
    <t>Infante JD</t>
  </si>
  <si>
    <t>…na Juana Osulliyan, hija de D. Manuel, coronel del regimiento infantería de Fernando vn, muerto en el campo del honor. &lt; Con aprobación del-Rey nuestro Señor, y acuerdo del Sermo. Sr. Infante JD. Carlos, gefe principal de lá Real academia de S. Fernando, ha dispuesto ¿ésta abrir* al público desdé'iv° de Setiembre próximo hasta fin del mismo mes, •y^cti las horas dé fcis-ocjió dé la mafiana á las dos de la tarde, las salas de su casa calle de Alcalá ,…</t>
  </si>
  <si>
    <t>JdseFRuiz</t>
  </si>
  <si>
    <t>…ade, coronel del regimienta de dragones provincialesde Nueva-Galicia; D. Domingo Estanislao déLüaces, brigadier; D. Ángel Díaz del Castillo, coronel del regimiento de Fernando vn; D. JdseFRuiz, cóifqnel, comandante del batallón ligero dé Navarra; D. Juan Orbegozó, coronel agregado del regimiento fijo de México, y mariscal de campo D. Juan Echeverri. Caballeros. ; , D. Josef Velez, capitán de milicias provinciales; D. Josef López Me-</t>
  </si>
  <si>
    <t>Je</t>
  </si>
  <si>
    <t>…u cargo la comandancia general de ar tillería , nombrándole tánico inspector de ella y de las fábricas de armas y municiones; y eri 18 del mismo mes y año lé confirió el título de coronel Je los batallones y demas tropa de dicho Real cuerpo en consideración á sus buenos servicios, conocimientos militares y continuas pruebas que había dado de su incansable zelo y amor por el bien de S- M. y de la monarquía. En el año de 1808 se fugó de Madrid el d…</t>
  </si>
  <si>
    <t>Jes, Poveda</t>
  </si>
  <si>
    <t>Poveda Jes</t>
  </si>
  <si>
    <t>…s reunimos, seguí mi marcha, la que soló trata-1 ban de impedir álgunos fuertes grupos de paisanos armados y bien montados;/ pero todos desaparecieron Juego qué ordene ai teniente coronel Poveda Jes cargase al sable con mi caballería, logrando quitarles un,prisiiOuero,-nuevje.ca-' bailos ensillados y una carabina. En Ja Misión fui informado de que Rjojas se hallaba emboscado en los montes del fuerte de S. Luisr, y que, los; Uriundos,. sorprendidos con mi…</t>
  </si>
  <si>
    <t>Jesucristo</t>
  </si>
  <si>
    <t>…r retas, y de Illescas, calle ancha de Majaderítos, á 11 rs. en pasta. Triduo sacro, colección de poesías, en que se expresan los misterios de la pasión, v resurrección de nuestro Señor Jesucristo, y su lectura distribuida para los tres días de jueves, viernes y sábado santo. Encesta colección hallarán las almas piadosas lo mas selecto que se ha escrito por los autores de mejor nota, cítales son Fr. Luis de León, Fr. Juan de Soto, conde de Rebolledo, A…</t>
  </si>
  <si>
    <t>…iadosa devoción de asistir á'lós enfermos: forma de hacer los actos de fe, esperanza y caridad, por un zeloso de la salvación de las almas. = Oración sobre las virtudes de nuestro Señor Jesucristo manifestadas en su Pasión, por. Fr. Lippo Aurelio Brandoiino&gt; del órden de S. Agustín, y traducida al castellano para la contemplación de los fieles : un tomo en 8.® Se hallará en la librería y alma-], cen de papel de?Ortega, calle de las Carretas. /'■ . ; V&gt;…</t>
  </si>
  <si>
    <t>…nua les pagados por su ayuntamiento vlqs pre^end^te? dirigirán sus memoriales al es cribano 0. Bonoso.Marcelino de Corpas hasta él 25 del presente Abril. ' Conocimiento dé nuestro Señor Jesucristo considerado en suá misterios, y en las' diferentes cualidades ó fespectos que tiene, para con Dios su Padre,'con este inundó visible, con los hombres en sus diversos estados, y con los bienaventurados en el cic lo. Propónense oraciones ó elevaciones del alma…</t>
  </si>
  <si>
    <t>…s acomodare la plaza dirijirán sus mctoioriales al ayuntamiento pcür mátio de D. Benito de la Iglesia, comisionado al efecto. Via Crucis. ó meditaciones sobre la pasión de nuestro Señor Jesucristo, sacadas del santo evahgeílo por el limo; i»*.-:IX Santiago Josef Bencomo , obispo que fue dé Astorga, Sc halUrá chía imprenta, de Di^ila , calle¿ de Barrionuevo-, y en las libre rías de Sojo, calle de las Carretas, y de Villa, plazuela de Sto. Domingosu prec…</t>
  </si>
  <si>
    <t>…primer pintor de Cámara D. Vicente López. En otra de las salas había expuestas dos pinturas que en punto menor representa ban la resurrección y la coronación de espinas de nuestro Señor Jesucristo hechas por D. Juan Antonio Ribera, pensionado de la academia, que acaba de venir de Roma. En el gabinete de retratos se colocaron los tres bustos .en yeso de los Sermos. Sres. Infantes D. Gárlos, Doña María Francisca y D. Cárlos Luis, hechos con mucha propied…</t>
  </si>
  <si>
    <t>Jesús</t>
  </si>
  <si>
    <t>…neral de la caballería teniente coronel D. Antonio Gómez, á quien comisione con dos escuadrones de su regimiento para que'atacase por el frente al cabecilla que se titula teniente coronel Jesús* Angulo, el cual supe que con 160 hom bres de caballería estaba en aquel punto : al mismo tiempo mandé por-detras de una montaña, por la izquierda, al teniente coronel de egército D. Vintila Navarro con la columna de caballería del centro, para sorprenderlos…</t>
  </si>
  <si>
    <t>JFer</t>
  </si>
  <si>
    <t>■«3 Estadó que manifiesta las sumas de-oro y plata acuñadas en la Real casa dezmonedaide México con el sello y estampa de muestro augusto Soberano. el-Sr. D. JFer mando vil desde i*° de Enera hasta ji de Diciembre de i8 j¡8 , con distinción de lo labrado en cada mes, y bajo del inmedia to mando del superintendente juez privativo de dicha Real casa el co misario ordenador graduado de los Reales egércitos D. Rafael de La…</t>
  </si>
  <si>
    <t>Jimena</t>
  </si>
  <si>
    <t>…que contribuye á la hermosura de este, y diversión del público, hallándose en medio el pan teón donde el gobernador, francés Tinebáult depositó las cenizas del Cid v de su esposa Doña Jimena , mandadas traer de los benedictinos de S. Pedro de Cardeña. Se hallan en la mayor parte restablecidos los conventos que quedaron des truidos en la última guerra. • * León íj de Junio. Se trabaja con esmero en la carretera que va de esta chidad hasta el confi…</t>
  </si>
  <si>
    <t>Jiménez, Josef</t>
  </si>
  <si>
    <t>Josef Jiménez</t>
  </si>
  <si>
    <t>…, que fueron los que mas sobresalieron. Lósl 20 menores restantes á D. Francisco Molina, al guardia de la Real Pérsona Di Jo sef V idaurre, D. Rafael Rico, D. Celestino Arel lañó, D. Josef Jiménez, Don Juan Pedro Isr.si, D. Miguel Infante, D. Josef Aguirre, D&gt; Alonso Reina; D Josef Garci, D. Ramón Porta, D. Francisco Marín, D. Manuel Capace te , D. Josef Morales , D. Matías Michana, D. Gregorio de Casadevals, Don Miguel Fassia, D. Manuel Gómez, D. Migu…</t>
  </si>
  <si>
    <t>JJ</t>
  </si>
  <si>
    <t>…los planetas, y a. fo mentar la vegetación. ESPAÑA. México 28 de Febrero» Continuación de los partes de Nueva-España. Parte del teniente coronel D. JEpitado Sánchez al comaridante general JJ&gt;. Melchor ,Alvarez. •. .. . - ■ ,, Mi general: Con una satisfacción indecible participo á V. S; que al amanecer del dia de hoy he tenido la gloria de batir y destruir completa mente la gavilla de rebeldes acaudillada por Mateo Hernández, haciendo pri sionero…</t>
  </si>
  <si>
    <t>JL, J. F.</t>
  </si>
  <si>
    <t>J. F. JL</t>
  </si>
  <si>
    <t>…Cainpomanes 320.''Núm. 450. D. H. M., por mano del señor cura de Stá. Crüz de Madrid, i®.rNúin. 451. D. G. Mv M..I®. Núm. 45 2. D. P. V., : en seis onzas de oro, ¡1920. Núm. 453. ;D. J. F. JL dos recibos de intereses de vales Reales importantes 2166 .rs; Nám. 454. D. A.?T;/.6ot Num, 455. ^D. -Jí A; 40. Num. 456; Doña M. H. 20. Npm.! 4(17., D¿ F. B. 400: Num. ’ 458.; La comunidad de padres Agustinos de;S. Felipe el Real de esta corte 400. Núm. 459.…</t>
  </si>
  <si>
    <t>JM</t>
  </si>
  <si>
    <t>…íd , por limosnas recibidas, de sus feligreses¿1382 rs. y ib mrs; Núm. 3 49;- El señor cura de S. GineYde Madrid, por limosna recibida de su feligrés D. J. de A i 400. Núm. 35 o. "Doña JM. M. 60. Núm. 351. Doña N. 40. Núm. 352. Grégoria Acedo, criada sir viente, de su salario 20. Núm. 353. Él Excmo. Sr. duque de;Sedavi 360. Núm. 354. Juana Perez 20. Núm. 355'. D. J; M. y B. 40. Núm. 356.. Los individuos del gremio de herreros de grueso de Madr…</t>
  </si>
  <si>
    <t>Jo</t>
  </si>
  <si>
    <t>…y Young, D Josef Avila y Miranda, Don Antonio Ibañez y Ortega, D. Gregorio Aso Travieso, D. Mariano Fernan dez Tejeiro, D Bartolomé ,Gil de Padilla, D. Francisco Ugarte y Epalza, D. Jo«ef Ibañez y Ortega, D. Joaquín Gutiérrez Peña, D. Fernando Guerra de la Vega y Callantes7, D. Josef Gómez y Quintana, D Manuel JLoigorrj y González, y el soldado distinguido-D..Deogracias Salinas,.se ha servido,con cederles grado de subtenientes de infantería…</t>
  </si>
  <si>
    <t>JO</t>
  </si>
  <si>
    <t>…e; su casará dicho deposito. ‘ ESPAÑA. México 20 de Junio¿ ( . Continuación de los partes de Nueva-España, :.”U¡ / ' ■ • ' LLANOS DE 'A.PAN. ^ ' ' ;V Oficio del comandante general coronel JO. Manuel de la Concha. ,, Excmo. Sr.: Dirijo á las superiores manos de V. E. el parte original -que con fecha 23 del presente acabo de recibir del comandante accidental de ¡Ixhuatlan capitán D. Josef Ignacio de Ecbartea. , ,, Por el se enterará V. E.- de los b…</t>
  </si>
  <si>
    <t>…sí ó por medio de pro? curador en el juzgado de S. S. por lá escribanía del numero de D. Casimiro Antónicj Gómez á decir.de su. derecho y justicia en la instancia promovida por el D. Jo sefa continuada hoy pbr los Herederos de Doña Josefa Teresa de Maíz, difunta, so bre reclamación de ocho vales Reales de 300 pesos de las creaciones de Enero y Ma yo de 1808 y Setiembre de 1809 , que si vinieren se les oirá y guardará justicia en lo •que la t…</t>
  </si>
  <si>
    <t>…la audiencia de S. S. ' Por decreto de los señores del Consejo Real de Castilla, su fecha 2 2 de Abril de este áño, y en su cumplimiento por providencia del señor alcalde de corte D. Jo sef López del Pan, dada en 18 de Mayo siguiente, y refrendada por el escribano de provincia y comisiones de la misma D. Luis López de Castro, para pago de cierto acreedor se han mandado sacar á publica subasta por término de .30 uias, contados desde la public…</t>
  </si>
  <si>
    <t>…erjuicio que haya lugar. Ante el Real tribunal del consulado de comercio de Cádiz, y por la escribanía del cargo de D. Elias Izquierdo, se siguen-autos de concurso-de acreedores á D. Jo sef de Llano y S. Ginés, én los cuales por decreto de io ¡de Mayo último se ha mandado citar y emplazar á cuantos se estimen con derecho á los .bienes de dicha masa concursada para que acudan á Formalizarlo con los documentos que Ies comprueben en el preciso…</t>
  </si>
  <si>
    <t>…¡idttíít¿dfpiit¡acfb de Guipúzcoa; Don Josef Villaroel, cura de S.Pelayo; J^^ JosefJMaría Puj^valcalde del Crimen en Zaragoza; D. Ñicólás de Campos, asesor ae"correos en taHavana; D. Jo sef Parada, secretario de ^rrtbajkda; ehD: ^M'atías AgüiiáfV pirésbítero de Tenerife; D. Josef María, Borras, maesj^arit^de Valencia; D. Anto nio Capetillo, administrador dé Correos dé * Valencia; D. Gregorio Joa quín Piquer, canónigo de Valencia, yrector des…</t>
  </si>
  <si>
    <t>…mismo Sola en 20 de Ma yo del propio año á D. Ignacio Suarez; el quinto ídem ídem ; el sexto ídem Idem, y el séptimo porD. Pedro-Sebastian Perez en Sevilla á 25 de Abril de 1814 a Doña Jo sefa María Colarte. Y asimismo se cita á los tenedores de otro vale de 600 pesos de igual creación, y número 364,111, y de otros dos de 150 pesos, también de dicha creación y números 309,092 y 334,278. Lo que se les anuncia por medio de este pe riódico para q…</t>
  </si>
  <si>
    <t>…, asesor del Real sitio de Aran juez; Don Francisco María Sánchez Castilla, corregidor de Aranda de Duero; D. Juan de Orduña y Angel, alcalde mayor del Real sitio de S. Lorenzo, y D. Jo sef de Urrutia, agente fiscal segundode la junta suprema patrimonial de Ape laciones, con antigüedad. De la de Granada. A D. Benito Saenz González, asesor del Real sitio* de S. Ildefonso, y D. Juan Meneses y Calvete, corregidor de Soria.</t>
  </si>
  <si>
    <t>…n que eran mondados, animando con su egemplo á la tropa, y deseando á porfía ser empleados en los destinos dfe mayor riesgo. Ha llenado á toda mi satisfacción su deber el ayudante D. Jo sef Solans, quien después de comunicar mis órdenes con toda energía á los diferentes puntos que fue necesario, salió á batirse con las guerrillas; y el Capitán agregado D. Antonio Cobos se batió bizarramente con la tropa que puse á sus órdenes. Merece la mas…</t>
  </si>
  <si>
    <t>Jo, Manuel</t>
  </si>
  <si>
    <t>Manuel Jo</t>
  </si>
  <si>
    <t>…que debía disfrutar, como tercera parto de los 9600 que gozaba cuando cesó en aquel servicio; y que se publique en la gaceta para satisfacción del interesado. Por providencia del Sr. D. Manuel Jo*ef Rubio, del Consejo de S. M., y te-</t>
  </si>
  <si>
    <t>…la casa calle del Turco, antiguo almacén de cristales, desde la publicación de este anuncio hasta el expresado dia 15. Para pago de cierto crédito, y en virtud de providencias del Sr. D. Manuel Jo sef Rubio, del Consejo de S. M., teniente corregidor de esta muy heroica y illa, por la escribanía del numero de D. Antonio Villa y Fernandez, se vende una casa sita en esta corte, calle del Viento, barrio de Pórtaceli, señalada con el núm. 25 de la manz. 306…</t>
  </si>
  <si>
    <t>Jo, María</t>
  </si>
  <si>
    <t>María Jo</t>
  </si>
  <si>
    <t>1353</t>
  </si>
  <si>
    <t>…duos lo ruegan incesan-, tementes” . . : . , El dia 2 5 del pasado tuvieron la honra de besar la mano á S. M., y feli-. ¡pitarle por su augusto, enlace con la Reina nuestra Señora Doña María Jo sefa Amalia , á nombre del Real cuerpo de maestranza de caballería de Granada, sus individuos el conde de Polentincs, D. Antonio Perez de Meca y 0. Pedro Manuel V etíuti López de Ay ala; de los cuales el primero dijo: t*.. . * Seño®. : 1 ‘ ■ ■ La Real maestra…</t>
  </si>
  <si>
    <t>1324 los mas sinceros votos de la gratitud de este su pueblo por el augusto enlace que se ha dignado celebrar con la Reina nuestra Señora Doña María Jo sefa Amalia de Saxonia , de anticipar á V. M. y á toda la monarquía su mas respetuoso parabién por los felices resultados que de tan dichosa unión se promete, y de suplicar á V. M. se sirva admitir con benignidad esta de mostración de su acreditada fidelidad,…</t>
  </si>
  <si>
    <t>Joa</t>
  </si>
  <si>
    <t>…l mérito nuevamente contraído por los oficiales que he tenido el Honor de mandar en este tienipo, y son: del re gimiento de infantería de Zaragoza capitán D. Juan Power, tenientes D. Joa quín Araujo, D. Juan Bautista Echeverría y IX Ramón Tajonar; subtenientes D. Francisco Campo Osorio, D. Santiago Bermejo, D. Juan Benavente y Don Tomas Cepero: del primero Americano capitán D. Joaquín Sánchez Badajoz; subtenientes D. Juan Calvillo y D. Franci…</t>
  </si>
  <si>
    <t>…reguntas que les hicieron los mismos examinadores y el profesor , y desatáronlas: dificultades que les opusieron. En los'dias 4, 8 y 9 leyeron sus disertaciones ;E). Josef Gorria, D. Joa quín García Saenz, D. Luis Tentor, D. Francisco Ramírez, D. Antonio Pi queras y D. Ramón Pacanins sobre la teoría de fracciones , fracciones deci males, números complexos , razones, proporciones y progresiones , regla de tres , aplicaciones de ella á las oper…</t>
  </si>
  <si>
    <t>…evitar cualquiera otra sorpresa; y en efecto-en 19 del pasado se presentó én la cosa de comercio de la misma, ti tulada Vallarin Buisan.y hermanos, cierto sugeto que dijo llamarse D. Joa quín Morales, quien presentó una carta de D. Juan Sánchez del Cacho, de Zaragoza , corresponsal de aquella , para la entrega de 20© rs; , habiendo reci bido en el mismo correo el aviso correspondiente al efecto. Por las sospechas que indujo el citado Morales…</t>
  </si>
  <si>
    <t>Joa, Gregorio</t>
  </si>
  <si>
    <t>Gregorio Joa</t>
  </si>
  <si>
    <t>…tario de ^rrtbajkda; ehD: ^M'atías AgüiiáfV pirésbítero de Tenerife; D. Josef María, Borras, maesj^arit^de Valencia; D. Anto nio Capetillo, administrador dé Correos dé * Valencia; D. Gregorio Joa quín Piquer, canónigo de Valencia, yrector desaquella* universidad; marques de Ca&lt;a-Calderon &gt; alcalde dei Crimen en Lima; D. Antonio Picardo, Vecino de Cádiz ; D. Baltasar de Represé, comisario “de .guerra; D. Josef María Cón¿ de Salazar, regidor de Córdoba;…</t>
  </si>
  <si>
    <t>Joaquín</t>
  </si>
  <si>
    <t>…n cumplimiento de ,mi deber. Dios guarde á WE. muchos años» Fragata Resolución en el: surgi dero de Pisco 2 2 de Octubre de 1818. = Éxqmo. Sr. =r Fraiteijsco de Sevilla. == Excmo. Sr. D. Joaquín de la Pezuela, virey. y capitán general del Perú.” El mes pasado comunicaran de Guayaquil que da tripulación del corsaria» insurgente nombrado la Chacabuco se habla, rebelado, y muerto á su capitán en una isla: hoy se confirma esta noticia por la corbeta de g…</t>
  </si>
  <si>
    <t>…como V. S. me tiene prevenido. ,,Dios guarde á V. S. muchos años. Jalcbmulco Octubre 24 de 1-818. =r Antonio Aldao: = Sr. brigadier comandante general de la provincia de Verarcruz D. Joaquín del .Castillo BustainanteJ’ . Madrid % de Mayé* ARTÍ CU t«r DitOFteiO* - El Rey nuestro Señor se ha servido nombrar en el territorio de las Orde nes militares á D. Cristóbal Briz y López pará la vara de alcaide mayor de k villa de Forcuíia. de tercera dase ó…</t>
  </si>
  <si>
    <t>…Xátiva 3 de Junio. '. » : ! La Serma. Sra. Infanta Doña Luisa Carlota llegó, á esta ciudad el 31 de Mayo ultimo. Una diputación, compuesta del alcalde mayojr y corregidor interino D. Joaquín de la Escalera, de dos regidores, un diputado, el síndi co procurador general, y de dos maceros, salió hasta el punto donde princi pia el término de esta ciudad para: recibir y felicitar á S. A. : los restantes in dividuos del ayuntamiento, el cabildo eclesiá…</t>
  </si>
  <si>
    <t>…é i8t9.= Francisco de Eguía. =xSr. Secretario del Consejo supremo de la Guerra.” Por providencia del Excmo. Sr. conde del Abisbal, gobernador de la plaza de Cádiz, con acuerdo del Sr. D. Joaquín de la Peña y Santander; oidor honorario de la Real audiencia de Sevilla, y asesor de alzadas y rentas de la misma ciudad, se avisa á todos los que se consideren con derecho á la masa de bienes del concurso del conde de Reparaz, acudan por la escribanía de D.…</t>
  </si>
  <si>
    <t>…o :Beltran de Calcedo. Con este motivo el colegio paso á celebrar una junta general , á la que se dio principio con un elocuente discurso, qué pronuncio el protector y presi dente D. Joaquín de la Croix y Vidal, en que manifestó la importancia de la educación y lo que esta influía én el estado moral y político de los hom bres ¿ y por consecuencia en él servicio de Dios, del Rey y de la patria; y concluyó dando gracias'al autor de la memoria premi…</t>
  </si>
  <si>
    <t>…mental el dicho D. Bartolomé Martínez, D. Manuel Barbet, D. Mañuél Díaz,'O. Ramón Pepn , D. Josef Rodríguez Romero y EX Fermín Pedregal. En geometría prác tica el referido Barbet, D. Joaquín y D. Luis Ciavareza, D. Fermín Galceran, D. Florencio Pereira/D. Manuel Rodrigpez Almeida, D. Vicente Rey, Don Ramón Casal y D. Manuel María Riberos. En trigonometría plana dichos Díaz, Casal, Rodríguez Almeida, Barbet y D. Luis Ciavareza. En trigono metría esférica los mismos C…</t>
  </si>
  <si>
    <t>922</t>
  </si>
  <si>
    <t>…r lo que puede interesar .ai Real servicio. : / • . i ,,Dios guardé á V. E. muchos años. Valdivia 24 de Enero de 1819. =s Excmo. Sr. = Manuel Montoya. =,Excmo. Si*, virey dei Perú D. Joaquín de la Pezuela.” Madrid 13 de Setiembre. E11 el sorteo de la Real lotería moderna celebrado el dia 11 del corriente salieron sorteados con los premios*mayores los números siguientes: Húmeros. ’ * Premios. Administraciones. 345°^ 10000 pesos..*...... En Córdoba…</t>
  </si>
  <si>
    <t>…s años. Plaza del Real Felipe del Callao á las siete de la mañana, dia i.° de Marzo de 1819. ssExcmo. Sr, = Francisco Xavier de Reina = Excmo. Sr. virey y capitán general del Perú D. Joaquín de la Pezuela.” El Excmo. Sr. virey contestó á estos partes en los términos mas expresi vos y honrosos á tan ilustres defensores. ■ ' Idem 4. Partes del comandante general del apostadero del Callao al Excmo. Señor virey. i.° „Excmo. Sr.: Continuando todo el d…</t>
  </si>
  <si>
    <t>Joaquin</t>
  </si>
  <si>
    <t>…los entusiasman, tribután á V. E. las mas rendidas gracias. ,,Dios guarde á V. E. muchos años. Callao 2 de Marzo de 1819. =s Ex celentísimo Sr = Antonio Vacaro. = Excmo. Sr. virey D. Joaquin de la Pezuela.” 2.0 ,, Excmo. Sr.: Los enemigos en número de 300 hombres continuaron desembarcados , y corriendo la isla en varias direcciones con la balandra, dos lanchas cañoneras y tres botes atracados á ^Playahermosa: sus buques mayo res fondeados: sobre…</t>
  </si>
  <si>
    <t>…o de Roa, inmediato á Aranda de Duero, que acaba de establecer una de dichas máquinas que está elaborando actualmente con satis facción del comprador. En virtud de providencia deí Sr. D. Joaquín dé Aímázan, del Consejo de S. M.* alcalde de la Real Casa y Corte, que despacha la audiencia del Sr. D. Francisco Cándido de Paz por su indisposición, se cita, llama y emplaza á los parientes y de mas personas que se juzguen con derecho á los bienes que queda…</t>
  </si>
  <si>
    <t>…ulo. ' ! ' De Fiñana. ’ * /. * , A D. Juan Antonio Bolaño. Délas poblaciones de Sierramorena. A D* Antonio Lafuente y Oquendo. : X , : . i - ^ De lo criminal y policía de Cádiz. A D. Joaquín de la Escalera. ' *</t>
  </si>
  <si>
    <t>…eimiNiun. .'4.5. D*vJoséf Rdtondo ,:,pox ídem, con.20 idem. Num* 4Ó.‘*Doh üa■ María .Pereb^por i idériicon.20 idqm.* fNúm. ,47.;E). • Ramón Sanz- por •Idem.,'con 3Qddcah.;Núm¡,48. D. Joaquín d&amp;Jazquez ,.poí ídem., con! 20 adero. ;Núm; 49: Dona Gáladdijosái, por idem,, con j o, ídem. Núm. 50. Doña Mar xíá Josefa de Arélniegai, *por idem , con go idem. • i . Por el coiíreá de 16 «de Noviembre se libraron al limo. £r. obispo dé-Cá— -di25, con anuenc…</t>
  </si>
  <si>
    <t>…atriotas que. hubiesen- muerto, en defensa&lt;cie la justa causa de la nación, ha cabido en suerte de.l primer extracto: de ¡Laude éste día á Doña Joaquina Alegre, hija del patriota. D. Joaquín,¡müerto eirel .campo del honor. , ‘ ‘ ..v' o ;&gt;.■ i:. .■ ?/,-{ Coiitimía la lista de los sujetos que ham contribuido &gt;i y se .kan suscrito - en Madrid para socorrer los pueblos epidemiados, o *, . ' ; . .• ;&gt; Numero 441. D. Antonio Contreras 60. rs. Núm. 442.…</t>
  </si>
  <si>
    <t>Joaquín, Josef</t>
  </si>
  <si>
    <t>Josef Joaquín</t>
  </si>
  <si>
    <t>…do pór conducto del tesorero genera! dei reinó la Real orden de 26 de. Setiembre último, en opte compadecí Jo V. M. por la exposición que hizo el comisario de Guerra de esta plaza D. Josef Joaquín!</t>
  </si>
  <si>
    <t>Joaquín, Juan</t>
  </si>
  <si>
    <t>Juan Joaquín</t>
  </si>
  <si>
    <t>…os ó sucesores, para que por sí ó pojr ihedio dé! procurador con; Suficiente poderjsalgan á lá declaración de herederos que tienen solicitada Doña Damtaná Oíáz dé-Düraha, viuda de D. Juan Joaquín de 'Basterra, y Doña B&amp;dfiga* Francisca de Basterra, madre y hermana respective;del 3&gt;. Francisco ; con apercibimiento que no lo verificando, en el expresado término les parará el.perjuicio que haya lugar. i. Manual de curiosos, y almanak perpetuo para el rég…</t>
  </si>
  <si>
    <t>JoaquinVieytes</t>
  </si>
  <si>
    <t>…ba con la reserva, destiné sin perder momento al te niente cor onelíD. Juan Madrazo con su caballería á'sostener el alcance, si guiendo á esta la compañía de Lobera, que manda! su capitán D. JoaquinVieytes conmigo, portándose tanto' los oficiales como la tropa que llevaban á sus ordenes con el valor que tienen de costumbre ; y en la parte que toca á Ja disciplina militar, cumplieron los oficiales cdr¿. tanta igualdad, que aunque los rebeldes trataron tres yece?…</t>
  </si>
  <si>
    <t>Jomini</t>
  </si>
  <si>
    <t>…nuación de la-que él ¡mismo pu blicó en 1813 con el título de Principios de estrategia aplicados d las campañas de jys&gt;(&gt; en Alemania, la cual se traduje» al francés con notas del general Jomini; y el mariscal Jourdan publicó tarríbien en respuesta á es ta obra la 'Historia de Id campaña de i;' ' ! “'; ' i A, El Real instituto de niños ciegos celebró ayer una sesión-' púbiic&amp;y á que asistió un numeroso concurso, y tuvo ocasión de admirar los progreso…</t>
  </si>
  <si>
    <t>Jos</t>
  </si>
  <si>
    <t>ESPAÑA'. ' México 13 de Mayo. Continuación de los partes de Nueva-Esparta, Parte del subteniente D. Francisco Xavier Suarez al comandante y te niente coronel D. Jos ef María- Soria. „En. la mañana, de este día, á las cinco de ella, vinieron 400 rebeldes por el rumbo de la hacienda de Maravatio á atacar este destacamento de mi in mediato cargo., los qué aprovechándose de la oscuridad se ocultaron al res paldo de las” casa…</t>
  </si>
  <si>
    <t>Jos, Maria</t>
  </si>
  <si>
    <t>Maria Jos</t>
  </si>
  <si>
    <t>…stad sincera y adhesión recíproca que une las dos Reales caías , trató con el muy excelente y poderoso Rejr de Saxonia de rverificar ¿su mátrtmomo: con 5. A. R. la Serma. Princesa Doña Maria Jos^fatAjrALtÁ, íhijathjarta dé S. Ay R.&gt;él Sermo. Príncipe MaximiJano db Saxbniá y: de t$. rsArRudm: Serma. ‘Princesa Carolina1 María Teresa; Infanta deEspaña r Duquesa dé íPhtmay. ya di fun t a; &gt;y habiendo consentido en esfe enlacé- de- su ¡espontanea y Jibre…</t>
  </si>
  <si>
    <t>José</t>
  </si>
  <si>
    <t>…ntados y armados; y en su correría por las entradas del bajío ha. aprehendido otros rebeldes. ,,Las secciones que mandan el teniente coronel D. Miguel Barragan y el sargento mayor D. José f de Castro han logrado en sus correrías pequeñas ventajas contra ios rebeldes; y en las guarniciones, destacamentos y lo restan te de la provincia no ha ocurrido novedad. ,,Dios guarde á V. E. muchos años. Valladoiid Junio io de 1818. = Excmo. Sr.= Matías. M…</t>
  </si>
  <si>
    <t>…Vaugu-ri yon, Par de Francia , en lugar de Mr. dé la Rochefoocauld , que fue elegido ; • . »vice-presidente. • - • ... -V:„. éspaña. - . *■;;J ;,; Lima de Setiembre, •&gt; Parte del comandante D. José/ Cantera al general en gefe del egércitq del Rey en el Alto Perú. í .,,En virtud de las órdenes de V* S. me dirigí sobre Tarifa, la que falsa mente creíamos estaba amenazada por los enemigos, y por-lo mismo aprove chando la reunión Be tropas en aquélla plaza…</t>
  </si>
  <si>
    <t>Jose</t>
  </si>
  <si>
    <t>…Sola-, en 20 deMa-* JO' del propio año , á D. Ignacio Sua-:e¿. El quinto id. id. El sexto id. id. Y el s¿g-&gt; timo-por I&gt;. Pedro Sebastian.Perer, en-Sevilla 25 de Abril de 1814,-4 Doña Jose fa María Colarte. Y. asimismo- se cita- á los . tenedores de otro vale de 600 pesos de igual creación' y número 364111, y de otros dos de .150 pesos también de dicha, creación y húmeros 309092 y 334278». para que dentro de 30 díasr contados'des de.2 2 del cor…</t>
  </si>
  <si>
    <t>JoseCP</t>
  </si>
  <si>
    <t>…de D. Benito Lizana; en Ciudad Real en la de D. Francisco Morales; en Cuenca en la de D. Manuel Faustino de César; en Badajoz en la del Dr. D. Jaime Brancos; en Plasencia en la de D. JoseCP io López.Samaniego; en Villanueva de la Serena en la de D. Bernardo Bd^tip’enGranada en 'la del Dr. D. Manuel Lope? Mateos; en Málaga en la del T&gt;r. D., Jaime Alibau;.en Vigo en la del Dr: D. Julián Perez; en Santiago én la de D. Pedro Romero; enójense en la…</t>
  </si>
  <si>
    <t>Josef</t>
  </si>
  <si>
    <t>…Continuación de los partes de Nueva-JEspaña. ' ' ' ' 1 - - . , • - 1 - . „ t ¿ { t ... , , . :¡;.KXJEVA-GALICIA. _ .... , f . Del Exento. Sr. comandante general mariscal de campo D. Josef de la Cruz. " ' ,, Excmo. Sr.: Paso á manos de V. E. original, para su debido superior conocimiento, el parre que.me dirige desde los Reyes (pueblo de la provincia de Va liad olid, y como 25 leguas distante de la frontera de Nueya-Galicia J el coronel; D. Lui…</t>
  </si>
  <si>
    <t>…os años. Teloloapan Junio 22 de 1818.= Excmo, Sr. = Josef Gabriel de Armijo. = Excmo. Sr. virey D. Juan Ruiz de Apodaca.” Contestación del Exento. Sr. virey al oficio anterior del coronel D. Josef (Sabriel de Armijo. ,, Con el oficio de V. S. número 590 de 22 de Junio próximo pasado, á que contesto, he recibido las listas nominales de los indultados en ese rumbo, que suben á 4371 individuos, cuyo número se aumenta diariamente, según me expresa V. S. „E…</t>
  </si>
  <si>
    <t>…del Vierzo) 20 de Enero. Habrá como dos meses y medio que D. Miguel Ramón, cirujano titular de esta villa, fue llamado para visitar á D. Andrés Osorio, de edad de 22 años, hijo de D. Josef, vecino de Cabañas de la Dornilla, que 32 dias hacia estaba padeciendo fuertes dolores en la región epigástrica, igualmente que en la umbilical ,, vextendiéndose á la hipogástrica. Antes le habian visitado algu nos facultativos^, quienes le aplicaron varios r…</t>
  </si>
  <si>
    <t>…as y demas personas que tengan derecho al valor de la casa-teatro pvíblica de representaciones, con la de su café contiguo, establecida en dicha ciudad de Málaga, y construida por D. Josef . Antonip de S, Milian , vecino .que fue de ella ,• para-que en el término de 30 días, contados,desde su publicación, acudan á aquel juzgado á exponer lo que se les ofrezca acerca de sus derechos ; en la inteligencia que de no hacerlo pasado dicho término sin…</t>
  </si>
  <si>
    <t>…ente el cardenal Consalvi. ESPAÑA. ¡ ' México i&amp;de Junio. v Continuación de los partes de Nueva-España. HUEVA—GALICIA. , Parte del Exento. Sr. comandante general mariscal de campo D. Josef de la Cruz. ' ■ . ,,Excmo. Sr.: Paso á manos de V. E. para su debido superior conoci miento el parte -original qué me ha dirigido el coronel D. Hermenegiidb Re vuelta, comandante militar de Lagos, relativo á la correría que acaba de egecutar por los Altos de…</t>
  </si>
  <si>
    <t>…pre viene la Real orden de 28 de Julio del año pasado. ,,Dios guarde á V- E. muchos años. Lagos Mayo 19 de 1818. = Excmo. Sr. = Hermenegildo Revuelta. Excmo. Sr. mariscal de campo D. Josef de la Cruz.’* Idem i.Q de Setiembre*. Parte del teniente coronel D. Josef María Luvian al comandante gene ral coronel D. Manuel de fa Concha. ,, Tengo la satisfacción de dar á V. S. parte de que el 11 del corriente fueron tomados por las valerosas armas del R…</t>
  </si>
  <si>
    <t>…mi llegadá á Itau. Todo lo que participo áV. S. para su' superior c&lt;*fiocimienfo. Dios guarde á WS. muchos años. Tanja 8 de Mayo de í8i8.í¿ Antonio Vigil. = Señor general en ge fe D. Josef de la SernaJ** ‘ L' r .% i Madrid 7 de Abril* ': r■ . . , ‘ A R T I G ? I O B E OFICIO1. . i Hesúmen délas últimas' noticias sobre sanidad pública; En las provincias litorales dél réino é islas adyagentes lá salud, pública sie &gt; gue en él mejor estado, • ( .…</t>
  </si>
  <si>
    <t>…. Todo lo que comunico,á V. S. para su inteligencia y satisfacción. . ' &gt;: &gt; ,, Dios guarde á V. S. muchos años. Tari ja y ^Marzó.f de 1818. =r Anto nio VigiI.=Sr. general en gefe D. Josef de la Sérna.” , ; r ' ; ^ ! r;;:‘ ' ' ~ Idem, ti de Julio* Parte del general en gefe del egército Real del Alto-Perú al Excelentísimo Sr. virey. &gt; ,, Excmo. Sr.: Por los dos partes que c me ha dado el•0brigadier Rieafort, y que en copia acompaño, quedaráb ent…</t>
  </si>
  <si>
    <t>…á V\ S. para su superior conocimiento y satisfacción. Dios guarde á V. 5. muchos ^años. Cochaoamba Mayo 9 de 18 r8. = Mariano Rícafort. =Sr. general en gefe del egército del Perú D. Josef de la Serna.” (Sí continuará Valencia 12 de Marzo. El Real cuerpo de maestranza de caballería de esta ciudad, luego que supo la inesperada y lamentable muerte de la Reina nuestra Señora Doña María Isabel Francisca de Braganza, en demostración de sus sentimien…</t>
  </si>
  <si>
    <t>…el servicio* dél Rey nuestro Señor. : • b ,, Dios guarde á V. S. muchos años. Tari ja 7 de Agosto de 1818. = Josef Canterac, =¿Sr. general en gefe del egército Real del Alto Perú D. Josef de la1 •*Serna.0:■; Barcelona 20 de Mayo. La Sérma. Sra. Infanta Doña Luisa Carlota visitó ayer por la mañana la casa &lt;le Caridad de esta ciudad , que por su buen régimen, aseo y beneficen- 1 cía de! slis directores mereció la aprobación de S. A., quien pasó…</t>
  </si>
  <si>
    <t>&lt;42 en i9 de! cornente.se hapresefttado Josef Canuto Cüriiftünas, dfe esta vecindad, en solicitud de que se le declare heredero de D. Josef y D. Laureano Moreda, her manos , y como sobrino carnal de los mismos-, por haber fallecido intestados sin hi jos ni ningún ascendiente; cuya solicitud,se marida publicar por término de 30 dias únicos, contados desde su publicación,"paya que dentro de ellos las personas que se cr…</t>
  </si>
  <si>
    <t>…ue co, lnunmente llaman de Milla, en. el partido del Jabon~ro I linda por levante -con ha~ ciendas que d.icen de los .Tqrcuatos yde ~05 Ramire;zt ,al ñorfe~as de D.&gt;16séfBal~o :1: D. Josef ¡Iúrtado, y al'poniente r t,ne,dio':dia con la. :dé los 9'raJ'ladps; c'o,mprende ,1'36 fanegas d.e tierra del marco d~ Málaga, eíl, qÚe se)h~t4y'en ,i:6 Jbbradasde vina de á' IÓO cepas:, "y está tasada éri 8 11,8[6 rs'.; y la otra titLÍla:da' ios'M,ajuelos de…</t>
  </si>
  <si>
    <t>…8/2, 548/3 , 548/5V 54,8/8, 54,8/6, 54,880, 36;5o8 y 54,814, dé cuya demándase ha comunicada traslado á las personas que’ tengan- derecho á dichos vales Reales ,‘y en particular á D. Josef de; Melgarejo y D. Manüelde Molina; en su consecuencia se Ie3 cita, llama y emplaza á todos5 para que dentro' del término de 30* dias, contados'desde el eil que se insérteeátea nuncio, acudan ante dicho señor y citada escribanía á deducir y exponer lo qiíe; á…</t>
  </si>
  <si>
    <t>Joséf</t>
  </si>
  <si>
    <t>77? ¿Ramón Garrido,'aspirante» al premia de ornato; á D. Joséf ; Medina ilgual medalla de plata en el ramo de figuras; en el-dé cabezas á D.: Andrés -Torré»* cilla y D. Juan :Béaito ;]á DI Josef Prados eni él de manos, y D. Jiiikm Ma teo en el de: pies.’ Fueron -gratificados en la: clase de adorno Dv Josef Ruiz; en. la d…</t>
  </si>
  <si>
    <t>…ilitares ó patriotas que hubiesen muerto en defensa de la justa causa de. ía nación,, ha cabido en suerte del primer extracto de la de este dia á Doña Antonia Ruiz Dueñas, hija de D. Josef, capitán del segundo regimiento de infantería de Valencia, muerto en el campo del honor. ARTICULO DE OFICIO, • El Rey nuestro Señor se há dignado conceder los honores de su predica,doí á*D. Francisco d£ Paula" Villegas., ctira párroco del pueblo y partido de…</t>
  </si>
  <si>
    <t>…871, 54872, 54873* S4875» 54878, 54876, 5488o, 36508 y 54814. De cuya demanda se ha comunicado traslado á las personas que ten gan derecho átdichos vales reales, y.en particular á D. Josef cíe Melgarejo y D. Ma nuel de Molina; en su consecuencia se les cita, llama y emplaza á todos, para que den tro del término de 30 días, contados desde la publicación de este anuncio, acudan ante dicho señor y citada escribanía á deducir y exponer lo que á su…</t>
  </si>
  <si>
    <t>…ras que sucesivamente ha erigido y, conserva. .En seguida Vlos - alumnos D. José PMa ría de'Franco y de Mora, D. Juan ^Cascante y ;Boxeda,SD. Buenaventura Guardia Pía 'yFresáisy y D. Josef ■Romualdo, de .Bofarrull y .Broca, disertaron. Sobre varios puntos.de aritmética -y álgebra,, des pues* de loque* satisfizo* cada uno áUas preguntas.que les hicie ron los concurrentes sobre Jas materias. contenidas,en el impreso que se repartió. -En el segund…</t>
  </si>
  <si>
    <t>…de los Ríos, del Consejo de $ M.&gt; teniente corregidor de esta muy heroica villa , y por la escriban nía de su número que egerce D. Juan Raya. ' r - * , o ¡ Por providencia del Sr D. Josef 'Cavanillés”, del Conséjóbtíé S. M , alcalde deéanó de su Real asa y Corte , se Hace sabér que para pagar a sus acreedores y. rein tegrar á sus mayorazgos el valor de íak fincas enagenadas con Real licencia, propaso el señor duque de Abran tes ceder la cantid…</t>
  </si>
  <si>
    <t>…Joaquín Montenegro; D Santiago Mendez de Vigo; D. Manuel de Rosales; D. Indalecio de la Torre; conde de Zanoni, y D. Luis Nieulant y Altamirano. Honores de secretarios del Rey. A D. Josef de la Torre y Sainz, y D. Francisco Blasco y Tejedor. Plazas supernumerarias de gentileshombres de la Real casa. A D. Manuel Sainz de la Maza; D. Santiago Vicente Masarnau y Fer-</t>
  </si>
  <si>
    <t>…32Q.~¿Núm. 535^.ÜOÍ^gwBnensorjNqm. &lt;536. El. S.,L).M. -yS* Nuéíi..:537..El señor pura;de S;&gt; Sebagtia^i, por-llmospa recibida-de un feligrés, 40. Núm. 538. D. J. Li 20. Núm* 539..D. Josef de^02?as 300. l^íu-, mero-,54o. Los actores, actrices, y demas dependientes del teatro del Prín cipe de esta M. H. villa, por el producto de una función extraordinaria que barí égecuía4&amp;V-.J&amp;P2Q rs. cycJi mrs,;¡Ni%n*' 5;41* El Excmo.; Sy;unarqqes de Casa-Truj…</t>
  </si>
  <si>
    <t>Josef, Manuel</t>
  </si>
  <si>
    <t>Manuel Josef</t>
  </si>
  <si>
    <t>…ivas y 20 marras, tasada en 1400 rs., á 4 rs cada una, el diá * 19 del corriente, á las 1 2 de su mañana, en la audiencia de dicho-señor y citada esr cribanía. Por providencia del Sr. D. Manuel Josef d# Arbizu, del Consejo de S. M., al calde en su Real Casa y Corte, se ha servido convocar í junta general de acreedor res del primer concurso del difunto marques de Salas para el domingo 27 del cor riente, á las 11 de su mañana, en Ja escribanía de provincia…</t>
  </si>
  <si>
    <t>Josef, Pedros</t>
  </si>
  <si>
    <t>Pedros Josef</t>
  </si>
  <si>
    <t>…elve á señalar el 14 del corriente, á las 12 de su mañana, en la audiencia..cjel Sr. £&gt;. Andrés QUer,-.fiel;Consejo de S. M., alcalde de Casa y Corte, y escribanía'de provincia de D. Pedros Josef de íbfbe , donde se admi tirán las- posturas que se hicieren siempre que cubran la tasa á metálico. El sábado n del corriente, á las 12 de su mañana, en la escribanía de provincia que despacha por habilitación D. Francisco Montoya, está señalado para el remat…</t>
  </si>
  <si>
    <t>Josef-, Pedro</t>
  </si>
  <si>
    <t>Pedro Josef-</t>
  </si>
  <si>
    <t>…una canongía de la misma , á D. Bartolomé Cerdá, Asimismo se ha dignado nombrar para la asesoría de la intendencia de, Soaora, vacante por fallecimiento de D. Alonso Fresierra, á D. Pedro Josef-</t>
  </si>
  <si>
    <t>Josef.Batao</t>
  </si>
  <si>
    <t>7,s 8 4 en el partido, de Jabonero , que Jinda, por . levante con haciendas de los Torcuatas y de los Ramírez, al norte las de D. Josef.Batao y D. Josef Hurtado, al poniente y iriediodia- con la de los Granados , comprensiva de 136-fanegas de tierra del marco de Málaga, en que se incluyen 16 obrabas de -viña de á 1 SI cepas, que está tasada y puesta en 81,816. rs/; y la'ótra titulada los'Majuelos de S. Juan Evangelis…</t>
  </si>
  <si>
    <t>Josefa, María</t>
  </si>
  <si>
    <t>María Josefa</t>
  </si>
  <si>
    <t>…, v ,, Por decreto de i.° de este mes participé al Consejo y Cámara de Cas?*) tilla que se hallaban entera méate concluidos • mis trat ados matrimoniales con, la Sernaa. Princesa Doña María Josefa; AmaiÍla de SaxomV^y ahora participo haberse celebrado nuestros desposorios ¿h,! Ja Corte de Dresde el día 28 de Agosto último. Tendráse entendido en el mismo Consejo y Cámará¡V5y se comunicará á quienes corresponda, y se hubiere practicado en Casos sé-i*• me…</t>
  </si>
  <si>
    <t>…do en seguida á sps comisionados .el honor, de que. besasen .su • Real mano. ; . , • En el mismo dia tuvo el honor de felicitar á S. M. por su augusto en lace con la Serma,. Sra., Doña María Josefa db Saxonia la ciudad de Vitoria, representada por D. Raimundo Ettenhard y Salinas, del Consejo de S. M. en el de la suprema, y general Inquisición , y el brigadier de los Reales egércitos D. Redro de la Cuesta; el primero dijo: SkSor : ,,La M. Nv y M. L.'eiud…</t>
  </si>
  <si>
    <t>JosefCadalso</t>
  </si>
  <si>
    <t>…r cada tomo de los publicados, y anticipando 17 rs. para los dos siguientes, recibiéndolos en buena rústica. . Noches lúgubres, que imitando el estilo del ingles Young escribió el coronel Don JosefCadalso: un tomo en 16.0 mayor de buen papel é impresión, adornado con una J estampa fina y otra que le sirve de portada: va añadida esta última edición con el final de la tercera noche, y según el juicio de los literatos es el completo de cuantas7 escribió, y la mej…</t>
  </si>
  <si>
    <t>JÓsefRublo, Manuel</t>
  </si>
  <si>
    <t>Manuel JÓsefRublo</t>
  </si>
  <si>
    <t>…Real cédula de 9 de ‘Abril de :i7^4/lo qué seavisa al público para su inteligencia y gobierno, y á fin, de que no pueda alé~ ^ t ignorañélaf- . r/ V . ,Vt'~ ,/ P.or providenciádel Sr. D. Manuel JÓsefRublo?, defConséjocf^S,M/,úchíénté efe corregidor de esta muy heroica villa * se cita ^ llima'y émjplayá‘ á;D. Luciano de á fin de qrie personalmente Ó por niédio-de próenfadór',-Con 'pbdeír js’úficí'éhte, -deáÚra úel térmioo de. g.o. dias, comparezca ante el escri…</t>
  </si>
  <si>
    <t>JosejfJRavon</t>
  </si>
  <si>
    <t>…e un gram-número de observaciones , ha dispuesto multipli-, garlas», para cuyo din remitióla! Real estydio de Medicina práctica cierta can tidad de los polvos de dicha planta, que D. JosejfJRavon dispenso con-mucha generosidad, como- lo ha egecutado con algunos médicos que están en .la ac-H tualidad ensayándolos con gran -provecho , y cuyp testimonio confirma mas y mas las observaciones anteriores. Posteriormente ha puesto en práctica el uso de la cki…</t>
  </si>
  <si>
    <t>Joubert</t>
  </si>
  <si>
    <t>…rte de Roma se ha dignado confir mar todas las antiguas franquicias de la iglesia maronita. No obstante las dudas que se han suscitado podemos añrmar que ha lle gado á Teodosia el caballero Joubert con 1300 cabras de casta del Tibet, y que ya se estaban tomando disposiciones para su embarque, de manera que llegarán muy pronto á Tolon ó Marsella. s Parece que Mr. Joubert no ha comprado estas cabras en el mismo país del Tibet sino en las inmediaciones del…</t>
  </si>
  <si>
    <t>Jourdan</t>
  </si>
  <si>
    <t>…partamento del Oise, al conde de Grammont de Aster, coronel de la legión de los Bajos-Pirineos, al conde Félix de Hunolstein , al vizconde de Houdétot, á nuestro primo el mariscal conde Jourdan, al conde Laforest, al conde Lacepede, al conde Latour-Maubourg, al conde de Montalembert, nuestro ministro plenipotenciario cerca de S. M. el Rey de Wurtemberg, al teniente general conde Mauricio Mathieu, al consejero de Estado barón Monnier, al conde Mollie…</t>
  </si>
  <si>
    <t>…¡mismo pu blicó en 1813 con el título de Principios de estrategia aplicados d las campañas de jys&gt;(&gt; en Alemania, la cual se traduje» al francés con notas del general Jomini; y el mariscal Jourdan publicó tarríbien en respuesta á es ta obra la 'Historia de Id campaña de i;' ' ! “'; ' i A, El Real instituto de niños ciegos celebró ayer una sesión-' púbiic&amp;y á que asistió un numeroso concurso, y tuvo ocasión de admirar los progresos que los discípulos de…</t>
  </si>
  <si>
    <t>Jove, Josef García</t>
  </si>
  <si>
    <t>Josef García Jove</t>
  </si>
  <si>
    <t>…y constancia; son dignos de recomendación ; pero particularmente el capitán de cazadores de S. Luis L&gt;. Juan Domínguez, que ha mandado la infantería, los tenientes de Nueva-España D. Josef García Jove, y de dragones de. Mon eada D. Antonio Badilio, y los alféreces de este cuerpo D. Antonio Gelati, que me ha servido de ayudante,, y el de. mi cuerpo D. Manuel Arana,, todos .los que se han distinguido. _ . ,, Dios guarde á V- S. muchos años. Val lado lid Juni…</t>
  </si>
  <si>
    <t>Jovellanos, Gaspár Melchor de</t>
  </si>
  <si>
    <t>Gaspár Melchor de Jovellanos</t>
  </si>
  <si>
    <t>…n del almacén de frutos* literarios, que contiene: conclusión dé! itinera rio descriptivo de Galicia: apuntaciones sobre los montes de Galicia y Asturias: ora ción pronunciada por D. Gaspár Melchor de Jovellanos en los exámenes del Real instituto asturiano en 1797: discurso sobre los mayorazgos: respuesta del marques Granely á'una carta que recibió de Roma, relativa al cardenal Alberoni : informe del* apuntamiento de Toledo sobre da necesidad de. poner escuelas de pr…</t>
  </si>
  <si>
    <t>Joven, Josef</t>
  </si>
  <si>
    <t>Josef Joven</t>
  </si>
  <si>
    <t>…otro de la propia creación-de'300 pesos número 432816; y últimamente á otro de i.° de Enero de 1809 de. 600 pesos nú mero 366.405: Todos los cuales salieron renovados en cabeza de D. Josef Joven; j habiendo sido endosados en favor de diferentes personas vecinas de esta corte y de otras plazas del reino, en el día se reclama su propiedad por parte de D Josef Luís Escalada, como administrador de las memorias fundadas por las Excmas. Sras. Doña Le onor…</t>
  </si>
  <si>
    <t>Jua</t>
  </si>
  <si>
    <t>…-Francijí-, -que ‘mSa kéñót# ha tenjíóJa temeraria, osadía de escribir, faltando á ía! verdad , á 0. Jüári;%áutista ’Gástambide, cura párroco del insinuado pueblo de Moúguerrey i D. Jua,n Bautista PüJiat;t, que lo es del de Ürt* en el que süéíe^mulií por éemporá^ das* e»l citado Iturbide , cartas én qué afirma quére$te sepetiró j ¿^Frahcia*,5 de jando, en, pspaña burlados poy su itiga.acceédcueS.delcQpsideópiap. "Aunque és cierto y bien noto…</t>
  </si>
  <si>
    <t>…último, se ha mandado repetir la subasta de üna porción de viña, que en el término del lugar de Fuencarral, y'sitio que nombran la Fuente'Mdrena, corresponde á la testamentaría de Doña Jua na Díaz Vázquez, muger y heredera que fue del Lie. D. Josef Pérete, por término de 15 días, y señalado para su remate el dia 9 del presente, a las 12 en punto de su mañana, en Id audiencia de SiS.; y se compone de 1520 cepas vivas y 121 mar ras, tasadas, con…</t>
  </si>
  <si>
    <t>…S. M. y del numero de ella, se manda sacar á pública subasta una viña sita en el lugar de Fuencarral, y tér mino que nominan la Fuente Morena, perteneciente á la testamentaría de Doña Jua na Díaz Vázquez, viuda y heredera que fue del Lie, D. Josef Perete, compuesta de 1656 cepas, con inclusión de las marras, de vidueño tinto, pardillo y jaén, tasada en 8280 rs. vn. Las personas que quieran hacer postura acudan á la referida escribanía; y se se…</t>
  </si>
  <si>
    <t>Juan</t>
  </si>
  <si>
    <t>…de 1818. ElRr.x' nuestro Señor, en atención a la aplicación y buena conducta que han observado en el colegio militar de Segovialos caballeros cadetes del Real cuerpp de artillería D. Juan ,de los Reyes , D., Juan Pimentel, Dv Agustín .Valeray Miaña, D Genaro Nove-lla,y Rppbiera, D. Francisco Orlando,y Fernandez, D. Aniceto Calvez, de Pedro, D.¡Juan Lacemba y Víale, Don Santiago Posadillo y Chavarri, D Rafael Sentistillano y Pescio, D. Luis Bas…</t>
  </si>
  <si>
    <t>…io, escribano de Cámara mas antiguo y dé, gobierno dél mi Consejo , se le dé la misma fe y crédito que á su original. Dada en palacio á) 21 de Diciembre de 1818. = YO EL REY.= l^o D. Juan: Ignacio de Ayestarán, secretario delREY nuestro Señor, lo hieé escribir por su mandado. i En los Reales hospitales General y Pasión dé esta corte se hallan vacantes las plazas de. décimo, undécimo y duodécimo y ultimo médicos de número, dotadas cada una con…</t>
  </si>
  <si>
    <t>…e los Ríos, del Consejo de S. M.,, oidor honorario de la Real chanclllería, de Vaüadolid, y teniente primero de cor-, regidor dé esta muy heroica villa, se cita, llama y emplaza á D. Juan de la Torre,: tenedor del vale de 150 pesos de Enero de 1808, núm. 333514, cuyo paradero se ignora, para que eñ el término de 30 días Comparezca en su juzgado por la escriba nía del número de D. Pascual Seco, y por medio de procurador, con poder bastan te, á…</t>
  </si>
  <si>
    <t>…a una casa sita en esta corté, y su ¿alie de Toledo, núinero 6, de la manz. 146, que tiene.de sitio 5021 pies superficiales , correspondien tes al mayorazgo fundado por el, Exqmo. Sr. D. Juan de la Carrera y Acuña, retasa-, da últimamente por orden superior en la cantidad de 125348 rs. vn. La persona que quisiere hacer postura á dicha finca acuda al citado señor juez, por la escribanía del número de D. Juan Villa y'Olier dentro del término de 20 d…</t>
  </si>
  <si>
    <t>…o, le remitiré á V. E. para su superior conocimiento'. ,, Dios guárde á V. E. muchos años. Valladolid Setiembre 2 de r8 r8. Excmo. Sr. = Matías Martin y Aguirre.=rExcmo. Sr. virey D. Juan. Ruiz de Apodaca/* ' 2.9 &gt; y, Excmo. Sr.: Con fecha 1.°’del corriente me participa desde Patzeuarójél infatigable teniente coronel D. Miguel Francisco Barragan,. que noti cioso dé’la existencia de una reunión de 300 hombres, compuesta de las ga villas- de est…</t>
  </si>
  <si>
    <t>501 Excmo. Sr.rr Matías Mar tinyAguirre. = Excmo.Sr.virey D. Juan Ruiz de Apodaca.” , Moral\de Calatreva gode,Abril* El dia 14 de este mes D. Juan -de Mata García Pardo, maestro de la escue la pía de la villa del Moral de Calatrava, prescrito á examen público á los niños de su escuela sobre todos los ramos pertenecientes á su rñinisterio en la forma siguiente: cuatro niños explicaron toda la doctrina pe…</t>
  </si>
  <si>
    <t>…y en Valladolid en la dé Roldan. í ; ■ - V| Nota. En la gaceta del dia 13 de este mes, pág. 485 , lín. 14, donde dice Don1 Juan Agustín González, ayudante de Farmacia, debe decir D. Juan. Agustín Mtirilmz. " ‘ ", ’., — 1 ■;11 - — ■; ■»-—H—— 111 EN LA IMPRENTA REAL. ;</t>
  </si>
  <si>
    <t>…memoriales dentro de los primeros 15 dias siguientes á la expresada justicia, quien decidirá la elección, previos los informes conducentes. . r' ■ ; vi En la villa de Valencia de D. Juan, reino de León, ha vatado la plaza de ciru jano por muerte de D. Marcelo.Vicentees plaza de estuche, vale49 rs., que se co bran de los propios en efectivo. Los que aspiren á ella acudirán á dicho aytintapiieiir to por medio de su corregidor D. Manuel de Queve…</t>
  </si>
  <si>
    <t>77? ¿Ramón Garrido,'aspirante» al premia de ornato; á D. Joséf ; Medina ilgual medalla de plata en el ramo de figuras; en el-dé cabezas á D.: Andrés -Torré»* cilla y D. Juan :Béaito ;]á DI Josef Prados eni él de manos, y D. Jiiikm Ma teo en el de: pies.’ Fueron -gratificados en la: clase de adorno Dv Josef Ruiz; en. la de figuras D. Benigno Álaiza , D. Josef Saenz de Sta. María y D. Ci-r riaco Verdejo; en la.de cabezas D. Josef I…</t>
  </si>
  <si>
    <t>…, seña'ada con los números- v y* 3' dé la- manzana 134, que comprende de sitio- pies cuadrados superficiales,; tasada en el' año de 1803 por los arquitectos» D'.-Silvestre Perez y D. Juan. Antbnm Cuervo en la; canti dad de 802,330 rS^ñv*,'dé* los¿ cuales, deducidos 23,066 rs; y i rmrs: de Ta carga Real de aposento; y* alumbrado con que' está únicamente gravada*,, resulta ser su lí quido valor* de 779,263 rs. y 12 mrs. vn.; la que por alquilere…</t>
  </si>
  <si>
    <t>…gustó y los ► conocimientos matemáticos por _medio.de Jas. ^dps .cátedras que sucesivamente ha erigido y, conserva. .En seguida Vlos - alumnos D. José PMa ría de'Franco y de Mora, D. Juan ^Cascante y ;Boxeda,SD. Buenaventura Guardia Pía 'yFresáisy y D. Josef ■Romualdo, de .Bofarrull y .Broca, disertaron. Sobre varios puntos.de aritmética -y álgebra,, des pues* de loque* satisfizo* cada uno áUas preguntas.que les hicie ron los concurrentes sobr…</t>
  </si>
  <si>
    <t>…sco para pago dé cierta cantidad que quedó debiendo" ádá tesófería de dicho ramo D. Vicenté de Saura y Sáravia; y habiendo fallecido é¿te sé cita y emplaza á sus hijos D. Domingo, D. Juan y D. Joaquín, para que e»' el término de 20 días, contadas desde esta publicación, concurran al expresado juz gado por sí, ó por apoderado, á deducir la acción que les competa; pues pasado* aquel, y no lo haciendo, se procederá sin mas citación ni emplazamiento aloque hay…</t>
  </si>
  <si>
    <t>…corte, procura es timular-á los practicantesdae estos¡.establecimientos que asisten: al teatro de anatomía que está á cargo/dél;catedj*átic&lt;&gt; porrS, M. D. Antonio Torrecilla &gt;* y D. Juan ce Azaola, cirujano de número de dichos hbspi tales ¿;su; demostrador y maestre, ofreciendo todos'ló^añbá'coátro pr.ámidsj dos] de 5? pesos y dos de ¿ 3 5, á ios que sóbEresálgánimasténnlatOposición¿queíse jiacé á;fo$: mención nados premips. 1 Se- ha. ireálrz…</t>
  </si>
  <si>
    <t>…s solicita saber el paradero de su hermano D. Juan Ralfes, que en el año de 178 ¿ pasó á la América en un regimiento de infantería. La per sona que tuviese noticia cierta de dicho D. Juan, ya sea muerto ó vivo, se servirá comunicarla á la referida Doña Felipa, que reside en Valencia, casada con el capitán D. Pedro Andrés Gómez, á quien se dirigirá el sobre de la carta en la misma ciudad de Valencia. Nota, En algunos egemplares de la gaceta, an…</t>
  </si>
  <si>
    <t>…Puebla; D.-Francisco de Paula Landa, idem del de dragones de S. Luis; D. Cristóbal Vjllaseñor, capitán del de Sierragorda; D. Juan Bada joz, capitán del regimiento i.° americano; D. Juan .-Arguelles, teniente; del mismo: D. Martin Variandaran, capitán del regimiento de dragones del Prín cipe. ; Honores del tribunal de la Rota. A D. Lorenzo Ortega, canónigo lectora! de Santiago; D» Luis’ Ramírez Thoií de Monsalve, capellán de honor de S. M.; D…</t>
  </si>
  <si>
    <t>…ismo cuerpo Mauricio Terrero; como asi mismo los beneméritos capitanes del batallón de la Reina D. Juan Delgado y D. Pedro Gasals; los tenientes del mismo cuerpo D. Vicente Xurbe, D. Juan /</t>
  </si>
  <si>
    <t>…para pago de cierta cantidad ;¡uí quedó debiendo á la tesorería de dicho ramo D. Vicente de Saura y Sárávia ; y ha biendo fallecido este se citó y emplazó á sus hijos D. Domingo, D. Juan y D. Joa quín en la gaceta del 25 de Setiembre último, por cuya no comparec ncia se han ta sado la citada casa y huerto, aquella en cantidad de 23,500 rs., y este en la de 2700. Quien quisiere hacer postura á una y otro acuda ante S. S. por la citada escribanía en el…</t>
  </si>
  <si>
    <t>…3 de Julio próximo pasado, me dice lo siguiente: ,, Excmo. Se.: Acaba de-llegar;ílapartidade 30 caballos que manr •dé á Barcelona al cargo 4el comandante militar de aquella ciudad D. Juan</t>
  </si>
  <si>
    <t>…larde Corro, prebendado déla Real colegiata de esta villa, hijo de D. isidro Velardé y Doña Francisca del Corro, y hermano de D. Isidro, D. Antonio y de Doña Francisca, casada con D. Juan de la Vega Noruega, vecino del lugar de Camíjanes, y de Doña María y Doña Catalina Velarde, en su testamento que otorgó en 15 de Octubre de 1672 ante Gonzalo Cortiguera, mandó la casa que habitaba en la calle del Cantón con su huerta por de vínculo y mayorazg…</t>
  </si>
  <si>
    <t>Juan, Juan Roca y</t>
  </si>
  <si>
    <t>Juan Roca y Juan</t>
  </si>
  <si>
    <t>…831,446887, 435737 y 426601; que al tiempo y-cuando se presen taron á la renovación inmediata eran tales tenedores, del primero el Sr. D. Juan Bernardo Quiroga y Uria, dei segundo D. Juan Roca y Juan, del tercero D. Ro que Blanquer, y del cuarto y último Doña Josefa Cáceres, para que dentro del tér mino de 30 dias acudan ante el juzgado de dicho señor y escribanía del número del cargo de D. Pascual Secó, por medio de procurador con poder bastante, á usar…</t>
  </si>
  <si>
    <t>Juan, Sinforiárib de Antón</t>
  </si>
  <si>
    <t>Sinforiárib de Antón Juan</t>
  </si>
  <si>
    <t>…á como de unas 1400 arrobas poco mas ó menos, acuda á tratar y hacer proposiciones, que siendo ádtriisibles se admitirán1 por el administra dor actual riombrado por*los acreedores D. Sinforiárib de Antón Juan, vecino de dir cha ciudad, el mismo-que está áutórizado^ór el corregidor -para dicha venta, que -ha'de ser con la aprobación de !S. S. ; f ^ *'•••" '![ D,.Pedro Domínguez, que vive en. la plazuela de S. Miguel-, casa num. 20, cuar to segundo, tiene poder para…</t>
  </si>
  <si>
    <t>Juana, Miguel Gasa</t>
  </si>
  <si>
    <t>Miguel Gasa Juana</t>
  </si>
  <si>
    <t>…cuartel de Avapies 600. Núm 311. .Doña M. L. 40. Núm. 312. El limo. Sr. obispo de Sigüenza 6©. Núm. 313. Doña M. G. C. 20. Núm. 314. C. M. 1©. Núm. 315.M. de S.N. 1©. Nú mero 316. D. Miguel Gasa Juana 100. Núm. 317 . D. J..P. 100. Núm. 318. D. F. M. C. 4©. Núm. 319. D. N. 20. Núm. 320. D. F. T. F. 40. Núme ro 321. El Excmo. Sr. marques de Bélgida 320. Núm. 322. D. J. M. M. 60. Núm. 323. Doña E. M. 30. Núm. 324. Un ugier dé Cámara del Real cuar to y sérvidu…</t>
  </si>
  <si>
    <t>JuanRa-</t>
  </si>
  <si>
    <t>…á_ 40 rs. cada, egemplar-; Por provideilciáÜel ST t&gt;^"Mañuél joléf Rubio,’ del Consejó dé S/XÍ., te bien-" te corregidor de esta muy heroica villa, ante el escribano de su número D. JuanRa-</t>
  </si>
  <si>
    <t>Juárez, Juan</t>
  </si>
  <si>
    <t>Juan Juárez</t>
  </si>
  <si>
    <t>…corriente, anunciado en el diario y ga ceta de 8 y p del mismo, de una casa sita en la calle del Relox á la de Toríja, nu mero 12 , manz. 554 , perteneciente á la testamentaría de D. Juan Juárez, radicada *n el juzgado del señor alcalde D. Manuel Fernandez Gamboa, y escribanía de pro-</t>
  </si>
  <si>
    <t>Juati</t>
  </si>
  <si>
    <t>…o, puesto en pará frasis castellana, con la exp.icacion de los salmos según los comentarios dé Calrhet; notas á dicho oficio parvo, y varios pasages del libro de los Cantares, por D. Juati* Crisóstomo Piquen séptima impresión, mejorada y corregida,, con una lámina fina: ' un tomo en 8.° Se hallará á ro rs. en pasta en la librería dé Cuesta», calle de Cor reos , y en su puesto gradas de S. Felipe. Obras del V. Mtro. Juan de Avila: nueve tomos en…</t>
  </si>
  <si>
    <t>Julia, Lorenzo Garrido y</t>
  </si>
  <si>
    <t>Lorenzo Garrido y Julia</t>
  </si>
  <si>
    <t>…do menudamente sus operaciones y mecanismo. No en tró en la academia de taquigrafía, arte mercantil y otras ciencias por ser las doce y media, y asi se lo dijo ai maestro director D. Lorenzo Garrido y Julia, queicon sus discípulos esperaba la. honrase como otras veces; y concluyó la visita en el almacén donde están para la venta los géneros fabricados en dicha casa. . Antes retirarse de ella S. entregó al direetor D;. Jpsef Salomé .Gar cía Puente Jiña buena limo…</t>
  </si>
  <si>
    <t>Julián</t>
  </si>
  <si>
    <t>…de la Real andíéncíá de Lima ,queobtjiyó O..Pedro.«Mariano Goyténeché D. Antonio Gaspei)rrRodr!guez^ -, ------ .-...........‘-'■'■■i- •' • - yi ! Por el 'juzgado dé provincia del- Sr. D. Julián1 de Agudelo ’y Céspedes , al calde del Gruñen de la Real audiencia de Sevilla, y por la escribanía de D. An tonio Domínguez, penden autos sobre cumplimiento del testamento qué otorgó Pona;Francisca Lorenza Seguvir, viuda de D. Pedro Pumafejo, la cual por una…</t>
  </si>
  <si>
    <t>…del molino de la Hoz y Santos Ca bos, tasada en no rs.: otra viña en término de Majada-honda en la Boca de Puente-* cilla donde llaman los majuelos, linde con otras de Juan Diego, D. Julián* López Ríaza y herederos de Manuel García, y con el rio dé Guadarrama con la vega que la pertenece, tasada en 540 rs.: una tierra adonde dicen la Flontarrona y Fuente de' Pichano, su cavida 35 fanegas, linde con el barranco y tierras de Valentín Vázquez, here…</t>
  </si>
  <si>
    <t>…es. Núm. 3.0 D. Vicente García, por un mes, con 20 rs. semanales. Núm. 4.® D. M. B., durante la epidemia, con 3 rs. cada dia. Núm. 5.0 D. Gregorio J011sansoro y Serralta y su hijo D. Julián, ayudas de Cámara de S. M., mien tras dure la epidemia, con 200 rs. mensuales. Ñiim. 6.° Juan Martin Taber nero, por idem, 12 rs. mensuales. Núm. 7.0 £&gt;. Antonio Valenzuela, por ídem, 20 rs. semanales. Núm. 8.° D. Federico Moretti, por idem, 100 rs. mensuales…</t>
  </si>
  <si>
    <t>…40. Núm. 438. D. M. C. E. 100. Núm. 439. Dar ña J P. R. R. 100. Núm. 440. D. J. J C. 34. A‘imiimo se han suscrito las personas siguientes: Número 37. D. Francisco Xavier y su hijo D. Julián, durante ?a epide mia, con 30 rs. mensuales. Núm. 38. Doña C. F , por ídem, con 2 rs. dia rios, Núm. 39. D. Josef Liona y su consorte Doña Josefa Liona, por ídem, con 30 rs. mensuales. Núm. 40. D. Genaro Rivas y Losa, por iduu, con a reales diarios. 1 -</t>
  </si>
  <si>
    <t>Justo</t>
  </si>
  <si>
    <t>Gaceta de Madrid n.º 124</t>
  </si>
  <si>
    <t>1022</t>
  </si>
  <si>
    <t>…os terceias partes de su valor., sien■ fr Ax ’ r • •_ v ■' - 1ído este el de $/,6i’4:ts! - ror -• Se halla vacante la plázá de médiéo de lsuvilla de‘!Alba de;Torhtes¿ qué egeVcía -D. Justo de.la Riva, por habet'pasadp^a^eatedrático de su facultadla laruniversidad de Salamanca, la que se va á proveer por su ayuntamiento. Sus salarios y emolumen tos llegan á 790 ducados ¿n esfa forma: 500 de fijo. reglamento? consignados sobre la clase de arbitri…</t>
  </si>
  <si>
    <t>Kallimachi</t>
  </si>
  <si>
    <t>…no por lo co-* mun no se atreven á presentarse al público,; y muchas veces pierden ía vida 6 son desterrados. Se presume que la Puerta dispense estas particulares distin ciones ai príncipe Kallimachi, por comentar al pueblo de la provincia de Mol davia,- que .como está lindando con ios dominios-’ de Rusia y de Austria y abriga; un ¡partido opuesto á , la autoridad de la Sublime Puerta, necesita' de ciertas consideraciones; pero no bastarán las de esta esp…</t>
  </si>
  <si>
    <t>Kallimachi, Carlos</t>
  </si>
  <si>
    <t>Carlos Kallimachi</t>
  </si>
  <si>
    <t>…ra el infeliz maestro de ceremonias, después de 17 asn. de servicio, por una falta ligera que cometió últimamente en el desempeño d* su destino. J ; U5 El ex- hospodar de Moldavia príncipe Carlos Kallimachi ha tenido un recibimiento extraordinariamente hidrato devuelta de su gobierno: le ha en viado el Gran Señor con el gran visir una carta muy lisonjera, acompañada de una pelliza'de armiño; y el hospodar ha visitado á todos los ministros siendo asi que los gefe…</t>
  </si>
  <si>
    <t>Karadja</t>
  </si>
  <si>
    <t>…do de Ginebra ha autorizado en aquel cantón la forma ción de una sociedad denominada Compañía, de seguros marítimos. El domingo pasado llego á esta ciudad parte de ía comitiva del príncipe Karadja, hospodar de Valaquia: el todo, de la familia y de la comitiva de dicho príncipe , prescindiendo de la servidumbre, se compone de 14 personas, y entre ellas se cuentan su muger, su capitán de guardias y algunos oficiales</t>
  </si>
  <si>
    <t>Keiq</t>
  </si>
  <si>
    <t>…on los alemanes, ha biendo perdido sus enemigos ic® hombres entre muertosy prisioneros, .29 ban deras y estandartes y 100 y mas piezas de artillería, y.muerto de bala de iusil -mi lord Keiq y que ;m and aba él egército in media to al Rey, y en cuya campaña hubo otros:-encuentros p hasfci; que en.átnes - de, Octubre del mismo año se re tiró áBohémia. Entla campaña dó I749,, incorporado: en: el. egército mosco vita que mündaba el ¿eneral Eérmer! e…</t>
  </si>
  <si>
    <t>Kenion</t>
  </si>
  <si>
    <t>…s á esos, exa gerados declamadores que tachan de demasiado severos á nuestros tribunales* pudiendo echárseles en cara por el contrario su demasiada indulaenda.” En seguida propuso lord Kenion que se nombrase una comisión para to mar informes acerca, del estado y condición de los niños empleados en las fá bricas de algodón; y lord Lauaerdale et mendó esta proposición, indicando que el examen fuese extensivo á los niños empleados en las manufacturas…</t>
  </si>
  <si>
    <t>Kleber</t>
  </si>
  <si>
    <t>…tán haciendo á costa de los ayuntamientos, como la esta* tu a de Luis xvi para la ciudad de Montpeíler, el pedestal de la estatua de bronce-dé Luis xv para Reims, y la estatua del general Kleber. * Son continuas y de mucha consideración las remesas de libros , modelos de yeso, plantas, semillas y medallas que se envían á las bibliotecas, gabi-* netes de historia natural, jardines botánicos &amp;c. de los departamentos. Idem G. Es falsa la noticia que se…</t>
  </si>
  <si>
    <t>Knabelsdorn</t>
  </si>
  <si>
    <t>…ndilejas. ALEMANIA. Francfort 22 de Julio. Anuncian las ultimas noticias de Berlín que el 1 &lt;&gt; del cprríente salieron de aquella capital el teniente general de Muffliog y el Mayor general Knabelsdorn con destino el i.° á Halle, y el 2.0 á pustrin, lo que ha causado bastante sensación en las actuales circunstancias. Idem 23. : El Rey de Prusia acaba de llegar á los baños de Toeplitz con el ríombre de conde de Ruppin. Su hijo el Príncipe Real, que estaba en…</t>
  </si>
  <si>
    <t>Knescbeck</t>
  </si>
  <si>
    <t>…os y dinamarqueses. • Francfort 11 de Julio. Mañana saldrá de aquí para Darmstadt eí Príncipe Real de Prusia,, que viaja con el nombre de conde de Tollen, acampa gado del teniente general Knescbeck, y de allí pasará S. A.á las cortesdeQafísruhe, Stiittgardt yMiinich. Algunos presumen que este- viage, .tiene..cis!¿tafpqjeto político. ’ ;*'■ . ’ ■ SUIZA; ' ' ’■ ' ■"» Lausana i.° de Julio. 'Hoy ha empezado á egércer sus funciones de primer presidente . del…</t>
  </si>
  <si>
    <t>Kolowrat, Vicente de</t>
  </si>
  <si>
    <t>Vicente de Kolowrat</t>
  </si>
  <si>
    <t>este ramo, sucediéndole en la presidencia que ocupaba el conde Vicente de Kolowrat, general-Óe-artillería, y gobernador militar de Bohemia. ¿r*! PAISE S-BA JOS-UN IDOS. Brusélas i$ de Diciembre. La segunda cámara de los Estados generales ha celebrado hoy una sesión, en la que se ha discutido éL proyecto de ley que arregla el presupuesto de…</t>
  </si>
  <si>
    <t>Krusemarck</t>
  </si>
  <si>
    <t>…los si guientes: el príncipe de Metternich; el príncipe de Kaunitz-Rietberg, minis tro de Austria en la corte de Roma; Mr. de Alopeus, ministro de Rusia en la corte de Berlín; el general Krusemarck* ministro de Prusia en ja corte de Viena; el conde dé Bernstórf , ministro de Estado de Hannóver, y ministro de este reino en la corte de Vicna; el conde de Munster, ministró de Estado del reino de Hannóver; el conde de Sehulemburgo, ministro de Saxonia en Ja…</t>
  </si>
  <si>
    <t>Krüsemark</t>
  </si>
  <si>
    <t>*£*s-$*-- ALEMANIA. Carls^á 2^ ¿íe Julio* Diariamente se va aumentando el número de los ministros de varias cor tes, fAdemas del prín&lt;%^ de Kaunitz, del general Krüsemark, de los condes de Fíardémberg, de Schúlemburg y de Munster, que están aquí algunos dias hace, aguardamos á Mr. de Alopeus, al conde de BernstoríF y al conde de Winzingerode. ^Nadie duda que se tratarán en esta reunión diferentes puntos relativos á los interes…</t>
  </si>
  <si>
    <t>Krusemark</t>
  </si>
  <si>
    <t>…orden que han de dar sus votos: 1. a Curia, Austria. El príncipe de Metternich,: único plenipotenciario. 2. a Prusia. El conde de Bernstorff, primer plenipotenciario; el teniente general Krusemark, enviado del Rey de Prusia en Viena , segundó, plenipo tenciario; el barón de Kister, ministro del mismo Soberano cerca dé laá cor tes de Wurtemberg y de Badén, tercer plenipotenciarió. 3.a Baviera. El barón de Zentner, director general del ministerio del In…</t>
  </si>
  <si>
    <t>L, A.</t>
  </si>
  <si>
    <t>A. L</t>
  </si>
  <si>
    <t>…corre 1500. Núm. 396. D. J. C. 20. Núm. 397. Do ña M. R. 8. Núm. 398. D. A. Z. 100. Núm. 399. Un señor eclesiástico 160. Núm. 400. Doña M. R. 80. Núin. 401. D. B. P. 40. Núm. 402. D. A. L. 120. Núm 403. D: B. J F. 120. Núm. 404. D. M. y R. óo. Núm. 403. Los señores cuestores del cuartel de Maravillas, por resto de la demanda de su cuartel, 896. Núm. 406. D. N. N. y Doña N. N. 300. Número 407. Don Pablo Diez t 20. Núin. 408. Los testamentario^ d…</t>
  </si>
  <si>
    <t>L, C.</t>
  </si>
  <si>
    <t>C. L</t>
  </si>
  <si>
    <t>…386. D J. F. L. 40. Núin. 387. Don J. Y. G. y \1. P. M. roo. Núm. 388. D Pedro González 60. Núm. 389. D. A. F. R., en una letra á la vista, 500. Núm. 390 D. M. M. 20. Núme ro 391. D. C. L. 40. Núm. 392. Un señor eclesiástico 100 Núm. 393. Do ña Juana López 20. Número 394. La comunidad de Escuetas Pías de S. An tonio Abad de Madrid 320. Núm. 395. El autor y compañía cómica del co liseo de la Cruz de esta,-corre 1500. Núm. 396. D. J. C. 20. Núm.…</t>
  </si>
  <si>
    <t>L, F. X.</t>
  </si>
  <si>
    <t>F. X. L</t>
  </si>
  <si>
    <t>…629. Doña J. R. i.oo*--Núm. 630. D. A. M. G. 112 reales y 8 mrs. Núm. 631.^11 ílmoVSr. obrépo'i 5bo. Núm. 632. D. J P. W. 401 Nóm¿ 6331!):; J: S. 40. Núm. 634 -D; NU24. Núm. 63 5. D. F. X. L.&lt; 300. Núm. 636. El deán y cabildo de la santa iglesia metropolitana de Burgos 3®. Númf 637. Doña N. ióp. Núm. 638. El Ilmo.Sr. arzobispo obispo de Ba dajoz -*é; Núm. 639. D. A. B. C. un vale no consolidado de 400 pesos que prctátiiotén iftetálicp¡658 rs. Núm.…</t>
  </si>
  <si>
    <t>L, G. R.</t>
  </si>
  <si>
    <t>G. R. L</t>
  </si>
  <si>
    <t>…feligreses, 7®. Núm 434. D D G. T un vale co mún de 150 pesos , creación i.° de Enero de 1819 con el número 6331. Nú mero 435. D. Nicolás García Puente un recibo de 120. Núm .36. D. G. R. L. 160. Núm. 437. D. N. 40. Núm. 438. D. M. C. E. 100. Núm. 439. Dar ña J P. R. R. 100. Núm. 440. D. J. J C. 34. A‘imiimo se han suscrito las personas siguientes: Número 37. D. Francisco Xavier y su hijo D. Julián, durante ?a epide mia, con 30 rs. mensuales. Núm…</t>
  </si>
  <si>
    <t>L, J.</t>
  </si>
  <si>
    <t>J. L</t>
  </si>
  <si>
    <t>…G. 60. Núm. 298. Doña C. Ñ* 20. Núm. 299. Los señores cuestores del cuartel del Barquillo , por la demanda de la presente semana, 3017 rs. y 16 mrs. Núm. 300."D. N. 100. Núm. 301. Doña J. L. 40. Núm. 302. El Excmo. Sr. conde de Altatfiira 1©. Núm. 303. D. Agustín de la Hoz 6ó. Núm. 304. Un señor ministro del Real y supremo Consejo de las Indias 2©. Núm. 305. D; Blas Cuadrado 120. Nú mero 306. D. Eugenio Luzon 20. Núm. 307. Los señores cuestores d…</t>
  </si>
  <si>
    <t>…o de S. Benito de Sagunto 640. Núm. 674. D. F. S. 22 rs. y 6 mrs. Núm. 675. D. J. R. 20. Núm. 676. Un limo. Sr. obispo 320. Núm. 677. D. N. 40. Núm. 678. D. J. C. 20. Nú mero 679. Doña J. L. 40. Núm. 680. D. N. 40. Núm. 681. La compañía de actores, individuos de la,orquesta y demas dependientes del coliseo' de la Cruz de esta muy heroica Villa, por producto de una función extraordinaria que han egecutado , 22428. Núm. 682. Doña Lorenza Correa 200…</t>
  </si>
  <si>
    <t>L, J. L.</t>
  </si>
  <si>
    <t>J. L. L</t>
  </si>
  <si>
    <t>II (rj Genaro Rodenas, intendente de Salamanca , 200. Núm. 290. D, Nicolás Gar~ cía 60. Núm. 291. Doña X. B. 100. Núm. 292. D. J. L. L íoo. Núme ro 293. D. Mateo Obregon, capellán de honor, 300. Núm. 294. D. Andrés Gasaña 100. Núm. 295. D. L, Y. 320. Núm. 296, Los señores cuestores deí bardo del cuartel de Afligidos 706. Núm. 297. D. F.G. 60. Núm. 298. Doña C. Ñ* 20. Núm. 299. Los señores cu…</t>
  </si>
  <si>
    <t>…as de sus feligreses, 60. Número 418. D. N. 20. Núm. 419. D. Ramón Cazcarro, de la congregación de San Felipe Ncri de esta corre, 320. Núm. 420. D. M 112 rs. y 8 'mrs. Número 421. D. J. L. L. 100. Núm. 422. D. N. 120. Núm 423. D. Y. L. M. 60. Núm. 424 D. P. A S. 20. Núm. 425. Un criado de servir 10 Núm. 426. D. N, 80. Núm. 427. El señor cura de Sta. María de Madrid, por limosna recibida de una bienhechora ,60. Núm. 428. Doña M. S O. 40. Núm. 429.…</t>
  </si>
  <si>
    <t>L, M.</t>
  </si>
  <si>
    <t>M. L</t>
  </si>
  <si>
    <t>…08. Doña María Francisca Cue11a 20. Núm. 309. Los señores cuestores del cuartel de Palacio 848 rs. y 14 -mrs. Núm. 310. Los señores cuestbres del cuartel de Avapies 600. Núm 311. .Doña M. L. 40. Núm. 312. El limo. Sr. obispo de Sigüenza 6©. Núm. 313. Doña M. G. C. 20. Núm. 314. C. M. 1©. Núm. 315.M. de S.N. 1©. Nú mero 316. D. Miguel Gasa Juana 100. Núm. 317 . D. J..P. 100. Núm. 318. D. F. M. C. 4©. Núm. 319. D. N. 20. Núm. 320. D. F. T. F. 40. N…</t>
  </si>
  <si>
    <t>L., J.</t>
  </si>
  <si>
    <t>J. L.</t>
  </si>
  <si>
    <t>…ruz de Madrid, por limosnas recibidas de sus feligreses, 200. Núm. 146. D. E. M. 100. NútTK.147. D. L. T. 60. Núm. 148. D. B. C. 120. Núm. 149. Doña J. G. y D. T. A. 40. Num.-150. D. J. L. y Doña María C. L. 400. Núm. 151. D. A. C. 220. Núm. 152. D. Faustino Sánchez Sevillano 200. Núm. 153. D. N. 160. Núm. 154. D. F. F. C. 320 rs. y 24 mrs Núm. 155. El Excmo. Sr. Nuncio de S. S. 1®. Núm. 156. D. J. Y. A. 320. Núm* 157. D. J. L. T. 60. Núm. 158. Doña N. 6. Núm. 15…</t>
  </si>
  <si>
    <t>Labarrieta, Joaquín de</t>
  </si>
  <si>
    <t>Joaquín de Labarrieta</t>
  </si>
  <si>
    <t>…n dicho término, al sitio de los Llanos, de dos peonadas: está tasado en 1250 rs. Quien quisiere interesarse en la subasta acudirá á dicho tribunal por ante el citado escribano. t D. Joaquín de Labarrieta, del comercio de Cádiz, recibe por el navio de guerra «Asia, maestre D. Jfosef Antonio Micheo, cierta cantidad de pesos, para que en re presentación del Dr. D. Josef León Lobo Guerrero, doctoral de la santa iglesia de .Monterey, la entregue á los hijos de Doñ…</t>
  </si>
  <si>
    <t>Laborde</t>
  </si>
  <si>
    <t>475</t>
  </si>
  <si>
    <t>…oglie, ios Sres. Lanjuinaís, Guizot, Daünou, Etíenne y otros varios. Sección de economía polí tica: los Sres. Beugnot, Roederer, Lafitte, Davilliers, Casimiro Perrier, Pages, y el conde Laborde. Sección de historia: los Sres. Jay, Aignan y Tissot. Finalmente dicen que esta sociedad dará á íuz sus tareas literarias. Han llegado á Marsella las cabras de Cachemira, y creemos que el .pú blico leerá con apreció lás siguientes noticias que dirigió a la so…</t>
  </si>
  <si>
    <t>Labrador, Pedro</t>
  </si>
  <si>
    <t>Pedro Labrador</t>
  </si>
  <si>
    <t>marina. Hechos respectivamente los demas preparativos enNápoles por el Ex celentísimo Sr. D. Pedro Labrador, embajador de S. M. en aquella corte, y en Roma por el Excmo. Sr. D. Antonio de Várgas Laguna, su ministro ple nipotenciario cerca de la Santa Sede, se procedió al embarque de los Reales ca dáveres, en el puerto de Ñapóles el de S. M. el Rey D. Carlos iv, y e…</t>
  </si>
  <si>
    <t>Labrador, Pedro Gómez</t>
  </si>
  <si>
    <t>Pedro Gómez Labrador</t>
  </si>
  <si>
    <t>Núm. 6o, [ 5 cuartos. ] m GACETA DE MADRID DEL JUEVES 20 DE MAYO DE 1819. ITALIA. 1Capoles 21 de Abril. En la noche de ayer dio el Excmo. Sr. D. Pedro Gómez Labrador, em bajador de S, M. Católica cerca dei Rey nuestro Señor, un magnífico baile en celebridad de las faustísimas bodas del Sermo. Sr. Infante de España D. Fran cisco de Paula con la Serma. Sra. Princesa de las Dos Sicilias Doña Luisa Car lota. Aunque la casa de…</t>
  </si>
  <si>
    <t>Lacepede</t>
  </si>
  <si>
    <t>…mont de Aster, coronel de la legión de los Bajos-Pirineos, al conde Félix de Hunolstein , al vizconde de Houdétot, á nuestro primo el mariscal conde Jourdan, al conde Laforest, al conde Lacepede, al conde Latour-Maubourg, al conde de Montalembert, nuestro ministro plenipotenciario cerca de S. M. el Rey de Wurtemberg, al teniente general conde Mauricio Mathieu, al consejero de Estado barón Monnier, al conde Mollieu, al conde de Montalivet, al teniente…</t>
  </si>
  <si>
    <t>Lacoma, Francisco</t>
  </si>
  <si>
    <t>Francisco Lacoma</t>
  </si>
  <si>
    <t>…l natural y otro mas pequeño dé cuerpo entero, igualmente ue otros compañeros del Sermo. Sr.' Infante D. Carlos y de la Serma. Señora ? nfanta Doña María Francisca, trabajados por D. Francisco Lacoma, pintor honorario de Cámara de S. M., y académico de mérito; y otros dos, uno de la difunta Reina Doña Marj a Isabel de Br aganza, y otro del Sermo. Sr. In fante D. Carlos Luis por el primer pintor de Cámara D. Vicente López. En otra de las salas había expues…</t>
  </si>
  <si>
    <t>Lacoma.y, Francisco</t>
  </si>
  <si>
    <t>Francisco Lacoma.y</t>
  </si>
  <si>
    <t>…nuestros antiguos pintores'hechas por D. Francisco Garrafa. En dos salas que forman él entresuelo se colocaron las obras de menor tamaño, y entre ella? unos fruteros y floreros de D. Francisco Lacoma.y D. Miguel de Parra, cua tro cuadros que representaban varias aves y animales muertos y una pollera con unas gallinas hechos por D. Bartolomé Montalvo, y una multitud de pinturas al oleo, de miniatura, de lápiz, de tejidos de seda, de recortes de papel, todo de buen gusto; siend…</t>
  </si>
  <si>
    <t>Lacroix-</t>
  </si>
  <si>
    <t>…onernos para estudiar con fruto las matemáticas en general , y según el estado en que hoy dia sé hallan, ninguna de las qué hasta ahora conocemos es com parable ton la del célebre profesor Lacroix-: tomo g.0» Se hallará en el despacho de la imprenta Real , á 20 rs. en rústica y 24 en pasta. Los tomos i.° y 2.0, que contienen la aritmética y álgebra, en la librería de Sojo, calle de las Carretas, á los mismos pre cios cada tomo. El 4.0 se publicará á la…</t>
  </si>
  <si>
    <t>Laforest</t>
  </si>
  <si>
    <t>…e, al conde de Grammont de Aster, coronel de la legión de los Bajos-Pirineos, al conde Félix de Hunolstein , al vizconde de Houdétot, á nuestro primo el mariscal conde Jourdan, al conde Laforest, al conde Lacepede, al conde Latour-Maubourg, al conde de Montalembert, nuestro ministro plenipotenciario cerca de S. M. el Rey de Wurtemberg, al teniente general conde Mauricio Mathieu, al consejero de Estado barón Monnier, al conde Mollieu, al conde de Mont…</t>
  </si>
  <si>
    <t>Lafuente, Pedro Fuerimayor y</t>
  </si>
  <si>
    <t>Pedro Fuerimayor y Lafuente</t>
  </si>
  <si>
    <t>…efectos* que han tenido y tienen las profesiones y .profesores del arte de:curar en España , por el mismo autor. ^ &lt; í^MaríaStuardt, Reina de Escocia: tragedia en cinco actos, por D. Pedro Fuerimayor y Lafuente: representada por primera vez en el teatro de la ciudad de Sevilla . en&lt; 18 £8rSe-hállará en lar librería'de la viuda de Qüiroga, calle de las Carretas. EN LA IMPRENTA REAL.</t>
  </si>
  <si>
    <t>LagóRobíes, Vicenté</t>
  </si>
  <si>
    <t>Vicenté LagóRobíes</t>
  </si>
  <si>
    <t>…romoción de D. Pedro de Si Ives á ía ase soría de la superintendencia de la Real Hacienday á D. Santiago Baltasar de Aguirre, alcalde del crimen rdeja misma;.y para esta resulta-á D. Vicenté LagóRobíes ;'y para la plaza de fisqaí ^déf críinen cíe dicha Real audiencia á I). Pedro Pp/ro Qidoncho. ; V!( ' Igualmente se ha servido nombrar para la plaza dé alguacil mayor dé la Real audiencia ,de Mallorca, vacante por muerte de D. Antonio Dameto y Pespuig, á D. F…</t>
  </si>
  <si>
    <t>Laguna, Antonio de Várgas</t>
  </si>
  <si>
    <t>Antonio de Várgas Laguna</t>
  </si>
  <si>
    <t>marina. Hechos respectivamente los demas preparativos enNápoles por el Ex celentísimo Sr. D. Pedro Labrador, embajador de S. M. en aquella corte, y en Roma por el Excmo. Sr. D. Antonio de Várgas Laguna, su ministro ple nipotenciario cerca de la Santa Sede, se procedió al embarque de los Reales ca dáveres, en el puerto de Ñapóles el de S. M. el Rey D. Carlos iv, y en el de Gaera el de S. M. la Reina Doña María Luisa, á bordo de la fragata sici liana ia Siren…</t>
  </si>
  <si>
    <t>Laguna, Josef Soriano Fernandez de</t>
  </si>
  <si>
    <t>Josef Soriano Fernandez de Laguna</t>
  </si>
  <si>
    <t>…mejora ocurra en el término de 30 dias, que se cuentan desde 15 del corriente. . En, virtud de providencia del Sr. alcalde mayor de la ciudad de Murcia, refrencfáda del escribano D. Josef Soriano Fernandez de Laguna, se cita, llama y emplaza por término de 30 diás contados desde su publicación en la gaceta, á todos los acree dores que no sean vecinos de la ciudad de Murcia y se presuman con derecho á los bienes de la casa del comercio de la misma, titulada Viuda de Aguil…</t>
  </si>
  <si>
    <t>Lambárri, Juan Antonio de</t>
  </si>
  <si>
    <t>Juan Antonio de Lambárri</t>
  </si>
  <si>
    <t>…receptor en caso de inutilizarse regentando la cátedra disfrutará de di cha dotación, siendo de su cargo poner y pagar un substituto. Los pretendientes re mitirán sus memoriales á D. Juan Antonio de Lambárri en el mismo Gordejuela, vicepatrono de esta fundación, en el término de 30 dias, contados desde el 8 del cor riente. El pretendiente sacerdote ú ordenado ín sacris será preferido en iguales circuns tancias, y tendrá misa en los sábados con limosna de 5 rs. y…</t>
  </si>
  <si>
    <t>Lambeá, Mateo</t>
  </si>
  <si>
    <t>Mateo Lambeá</t>
  </si>
  <si>
    <t>... $71 Efi Filipinas. El gobierno de Cávite al teniente, coróñél D. Nicólas delValle, sargento:mayor del batallón de ibfantería Príncipe Fernandor él de Zamboanga á-D. Mateo Lambeá , capitán de'granaderos del regimiento dei: Rey ^y é!";de;ías;islas Marianas á D. Josef Máría dél Yeíró, capitán de iá-; fahtería y del regimiento provincial de Sevilla. ... t. ’ I^os - terremotos que. por Marzo de 18i7.se sintieron .en y arias .pactes de' Es…</t>
  </si>
  <si>
    <t>Lambreches, Isabel Catalina de</t>
  </si>
  <si>
    <t>Isabel Catalina de Lambreches</t>
  </si>
  <si>
    <t>…antes. ' * 14. Otro legajo de papeles y documentos de Doña Isabel Señan, muger de D. Bernardo Señan, ae la partición y división de bienes que quedaron por fallecimiento de la Sra. Doña Isabel Catalina de Lambreches, marquesa de Bañimargue . , . :r 15. Un libro de cuentas de la fábrica de la parroquia de S. Ginesde,esta corte del año de 1783 . ■ ( '- 16. Papeles concernientes á las hijuelas de Doña Francisca Gozani y Sor María Regina, naturales de esta corte. -. ^Legajo…</t>
  </si>
  <si>
    <t>Lancha, Juan Boíaños</t>
  </si>
  <si>
    <t>Juan Boíaños Lancha</t>
  </si>
  <si>
    <t>…X' juan.-Fayola ,. XX Frañciseci Xavier •'Moraferj Don - Francisco Teran Ruiz y D. Agustín Fernandez «con las obras de Mogo; BFaír: -D. Josef García. Vidal EX Josef GomezHormigo y D. Juan Boíaños Lancha, con las reflexiones de Muratori sobre el buen:gasto,s.D¿ Juan de Qoíntanilla, D. Roque Alcon, D. Pedro Romero Balmasecta y D. Florencio Sánchez Pa vón, con las lecciones instructivas delirarte: EX Gaspar Angulo y Aguado, con los eleiáehtos de retórica &gt;y poé…</t>
  </si>
  <si>
    <t>Landa, Josef María de</t>
  </si>
  <si>
    <t>Josef María de Landa</t>
  </si>
  <si>
    <t>…concluida el señor alcalde pro clamó los alumnos que habían sido premiados, y son los.siguientes: ciases. Lectura, primer premio á D. Josef Ferrer y Gundian. Escritura, primero á D. Josef María de Landa. Cuentas de enteros y quebrados, primero á Don Claudio Domingo de Ochoa. Doctrina de Fleuri, primero á D, Felipe Barto lomé de Ibárrola. Idem de Astete, primero á D. Vicente de Artiñano. Fá bulas de Samaniego, primero á D. Federico de Victoria. Dibujo, primer…</t>
  </si>
  <si>
    <t>Landazuri, Josef de</t>
  </si>
  <si>
    <t>Josef de Landazuri</t>
  </si>
  <si>
    <t>…nas otras aciesias, que se regula -*%áscendsrán á 100 ducados mas. Los que aspiren á dicha plaza dirigirán sus merhoria&gt;.íes á los señores de su ayuntamiento por medio del síndico D. Josef de Landazuri, por -Bilbao, en todo el mes de Agosto del presente año, franqueándolos el correo, y ex presando su edad, años de egercicio , en qué hospitales de otros establecimientos prac ticaron , 7 por cuanto tiempo. Se desea saber el paradero de Doña Florentina de Saba…</t>
  </si>
  <si>
    <t>Langenau</t>
  </si>
  <si>
    <t>…dicho.. AUSTRIA. • Viena 10 de Diciembre. S. M. I. saldrá á recibir en persona al Emperador Alejandro r que debe llegar pasado mañana á esta corte. Han vuelto aquí de Aquisgran el general Langenau, é inmediatamente sal drá para Francfort á hallarse en las conferencias militares de la. Dieta. Vuelven á subir los fondos públicos, que habían experimentado una baja muy considerable de resultas de las alteraciones, que se experimentaron en las. lonjas de Pa…</t>
  </si>
  <si>
    <t>…a concluido el Archiduque Carlos su historia de la famosa campaña de. 1799. También se continuará y acabará la obra del difunto general Stutterheim sobre la campaña de 1809, y. el general Langenau, actual ministro ple nipotenciario de Austria en Francfort cerca de la comisioné militar de la Die ta, se ocupa en escribir la historia de las.campañas de 1813 y 1814. Acompañarán al príncipe de Metternich en su viage á Italia varios artis tas y literatos de…</t>
  </si>
  <si>
    <t>Lápicdra, Benito</t>
  </si>
  <si>
    <t>Benito Lápicdra</t>
  </si>
  <si>
    <t>…cial deJá secretaría de Estado y del Despacho de Marina, y Don Josef Agustín Lobaton, capitán de navio de la Real Armada. . Supernumerarias. A D. Josef Nebot, comisario de Guerra; D. Benito Lápicdra, comisa rio ordenador honorario; al conde de Regla marques de S. Cristóbal, gentil» .hombre dq Cámara ; D. Antonio López de Haro, alguacil mayor y regidor perpetuo de Alcaraz; D. Rafael Fausto,Florín,, intendente graduado de pro vincia D. Josef Vázquez Balles…</t>
  </si>
  <si>
    <t>Laprada, Agustín Tosantos y</t>
  </si>
  <si>
    <t>Agustín Tosantos y Laprada</t>
  </si>
  <si>
    <t>…ado á D. Salustiano Mayordomo Cabrejas, fiscal de la co misión Apostólica del subsidio extraordinario del clero; y honores de alcalde del crimen de la chancillería de Valladolid á D. Agustín Tosantos y Laprada, corregidor de la ciudad de.Falencia, y de ía de Granada á D. Josef Ma&gt; ceda, alcalde mayor de Sta. Cruz de Múdela. En virtud de providencia del Sr. D. Manuel Josef Rubio, del Consejo de S, M.t teniente corregidor de esta muy heroica^villa, de 13 del corrient…</t>
  </si>
  <si>
    <t>Lar, Rafael de</t>
  </si>
  <si>
    <t>Rafael de Lar</t>
  </si>
  <si>
    <t>…on distinción de lo labrado en cada mes, y bajo del inmedia to mando del superintendente juez privativo de dicha Real casa el co misario ordenador graduado de los Reales egércitos D. Rafael de Lar„ dizabal, consiliario dé la Real academia de las tres nobles artes de - S. Carlos de esta Nueva-España. , ( Enero en plata 409,624 pesos ¿ Febrero en ídem 827,671 pesos y 2 rs.; Marzo eii ídem 7.67,782 pesos;.Abríl en idem 1.022,715 pesos; Mayo en ídem 1.074,…</t>
  </si>
  <si>
    <t>Lar, Vicente</t>
  </si>
  <si>
    <t>Vicente Lar</t>
  </si>
  <si>
    <t>…abos. „ Dios guarde á vmd. muchos años. Sto. Tomas Marzo 30 de 18x8.as Francisco. Xavier Suarez. = Sr. teniente coronel D. Josef María Soria.” Idem jp de Juliq. Parte del teniente coronel D. Vicente Lar a al' coronel y comandante ge-* nérai D. Matías Martin y Aguirre, - ,, Separado de V* $. la mañana del 27 del prójimo pasado Mayo de la inmediación de esta ciudad, marché., con la. sección dé mi cargo á Gapula, y hasta el 31 permanecí en Zacapo y eL tránsito.…</t>
  </si>
  <si>
    <t>Lara</t>
  </si>
  <si>
    <t>…8 de los atados rebeldes prisioneros, previos los auxilios cristianos , y los restantes serán castigados según resulte de la sumaria que les he mandado formar. El citado teniente coronel Lara, conforme á mis instrucciones, se adelantó hasta el pueblo de Nocupétaro en persecución dé la gavilla de Ana ya * que fugó dispersa á su aproximación. ' „ Dios guardé á V. E. muchos años. Sta. Clara Noviembre 6 de 1818.3</t>
  </si>
  <si>
    <t>Lara, Francisco de Víllanneva y</t>
  </si>
  <si>
    <t>Francisco de Víllanneva y Lara</t>
  </si>
  <si>
    <t>…gir su'soliciíud al ayuntamiento , para lo que se señala el térmipo de 15 días* i -, ¡ &lt; Comedia española original titulada la Pastora mas constante, y pastor duque de Atañía, por D. Francisco de Víllanneva y Lara, impresa en 1787. Véndese á,2 rs. en papel en el almacén de ia. imprenta Real. suplemeKto</t>
  </si>
  <si>
    <t>Lara, Rafael de</t>
  </si>
  <si>
    <t>Rafael de Lara</t>
  </si>
  <si>
    <t>…tín Ampudiay D. Manuel Albo, de la extinguida clase de tenientes co roneles segundos; y de la de capitanes segundos, también extinguidos, á ca pitanes primeros á D. Manuel Pastor, D. Rafael de Lara y D. Josef Ortega»</t>
  </si>
  <si>
    <t>Lara, Vicente</t>
  </si>
  <si>
    <t>Vicente Lara</t>
  </si>
  <si>
    <t>…prisión de los titulados coroneles extrangeros Nicolson y Yurtis, cuyo parte todavía no he recibido. ,, También tengo noticia por mis confidentes de que el de la misma gra duación D. Vicente Lara, que expediciona por el rumbo de Puruándiro con tra los rebeldes Torres y Huerta, como tengo manifestado á V. E., ha lo grado otras ventajas, aunque no de consideración. „ Dentro de dos ó tres días debe llegar este ge fe á las inmediaciones de. esta ciudad, y…</t>
  </si>
  <si>
    <t>…,E1 pueblo de Ario, entrada de la tierra caliente, le está reedificando el ca pitán D. Estébañ Moctezuma, teniendo concluidos dos jacales para el abrigo de la tropa. ,,E1 teniente coronel D. Vicente Lara salió de esta plaza para la de Patzcuaro con la asignación de tabacos para los puntos de su cargo, y á continuar la persecución de Torres y Huerta. Por ella, y la que hacen los comandanrtes en sus respectivas demarcaciones, se consiguen ventajas para la organ…</t>
  </si>
  <si>
    <t>…rificios á tan útil establecimiento.” 1 _ ESPAÑA. México 3 de Octubre. Continuación de los partes de Nueva-Es-paña. ,,Excmo. Sr.: Con fecha 27 del presente mes me dice el teniente coronel D. Vicente Lara, comandante de la demarcación de Zacapo, lo que copior ,, El 29 del próximo pasado esperé en Páztcuaro se me reuniese la tropa de la sección de mí cargo que había marchado á Capula, y á las ocho de la noche marché con toda ella en tres trozos, mandados por el…</t>
  </si>
  <si>
    <t>…aprehendieron 4 rebeldes montados y armados por una partida de mi caballería, ¡y 3 por el capitán de Moneada D. Ramón Reguera, que se me reunió alli. En seguida mandé al teniente coronel D. Vicente Lara á recoger algún ganado á la ha cienda de 5. Antonio de las Huertas con 300 caballos’, y ^con el resto, ¡de la división vine á este pueblo porque supe trataba de formar reunión el cabecilla Huerta, y para auxiliar el punto que lo necesitase. Aquí he pasado por…</t>
  </si>
  <si>
    <t>Lara, Vicente Ferrer de</t>
  </si>
  <si>
    <t>Vicente Ferrer de Lara</t>
  </si>
  <si>
    <t>…a Josef Angel Guzman, y á los de igual clase Josef Osornio, Mariano del Rio y Manuel Co lín; á los cabos lgnacio Peña, Ignacio Lugo y Josef María Martínez, al ve cino de la Nojcia D. Vicente Ferrer de Lara, el que por su,decisión por la justa causa del Rey , é intrepidez , como igualmente por lo avanzado de su edad, es digno de la consideración del superior Gobierno, y á los realistas de Chapa de Mota Vicente Colín y Josef María Andrade, y el voluntario Dolí Fe…</t>
  </si>
  <si>
    <t>Lara-y, Manuel de</t>
  </si>
  <si>
    <t>Manuel de Lara-y</t>
  </si>
  <si>
    <t>…e han portado los oficiales y tropa que tuve el honor de mandar es digno de la alta consideracíon del superior Gobierno, y muy particularmente los bizarros y valientes de Zaragoza teniente D. Manuel de Lara-y subteniente D. Bartolomé Roselló, el alférez de dragones de Sierragorda D. Dionisio Esquível, y el cabo del mis mo cuerpo Miguel Hernández, alférez de realistas D. Eugenio Torres, sargen tos Josef Guzman, Mariano Ríos , Josef Osorno, Hilario Godoy, Manuel Col…</t>
  </si>
  <si>
    <t>Lardin, Calixto Paredes y</t>
  </si>
  <si>
    <t>Calixto Paredes y Lardin</t>
  </si>
  <si>
    <t>…Barreda, D. Josef Bustillos y Barreda y D. Pedro Ponce y Riquelme. Con la de 8 de idem: D. Federico Vargas y Mathews, D. Francisco Vargas y Mathews, D. Cayetano Pilón y Tovalina, D. Calixto Paredes y Lardin, D. Josef Castellani y Ximenez , D- Francisco Nuñez y Pascual, D. Pedro Junquera y Velez, D. Josef Butrón y Butrón, Df Josef Rigada y ¡Llano y D. Esteban Hidalgo de Cisneros, . . ? Queriendo el Rey nuestro Señor recompensar los buenos servicios, distin guidos…</t>
  </si>
  <si>
    <t>Larraiñzár, Joaquín Muñoz y</t>
  </si>
  <si>
    <t>Joaquín Muñoz y Larraiñzár</t>
  </si>
  <si>
    <t>…tillan, D. Josef Abev11a y Conde, D. Juan Teran y Caldera , D. Juan DFIerve y Paredes, Don Francisco Navas Garro de Ulloa, D. Antonio Solís y González, D. Julián Giraldo y Molina, D. Joaquín Muñoz y Larraiñzár ¿ D; Salvador Hidalgo y Sarria, D. Juan Labastida y Bustamante, D. Vicénfe MazeyLizknn de Cano Manuel, D. Cayetano Vivanco y Young, D Josef Avila y Miranda, Don Antonio Ibañez y Ortega, D. Gregorio Aso Travieso, D. Mariano Fernan dez Tejeiro, D Bartolomé ,Gil…</t>
  </si>
  <si>
    <t>Larramendi, Santiago</t>
  </si>
  <si>
    <t>Santiago Larramendi</t>
  </si>
  <si>
    <t>…irh de S. Justo de Madrid, 300. Núm. 520. D. N. 60. Núm. 521. El Sr.'cura;,dé S. Andrés de Madrid, por limosnas recibidas de tres feligreses , 60. Num. 522; IX.M. H. 20. Núm. 523. D. Santiago Larramendi 320 Núm. 524, El limo. $r. obispo de Salamanca 1500. Núm.» 525. Un sirviente ro. Núm. 526. Doñ Lorenzo Ximenez 60. Núm. 527. Doña D. L. V* 20. Núm. 5 28. Los seño-i res cuestores del cuartel del Barquillo, por resto de la demanda en éí, 82^ Núm. 5 2¡9¿ D. J.…</t>
  </si>
  <si>
    <t>Larranaga, Martin Josef de</t>
  </si>
  <si>
    <t>Martin Josef de Larranaga</t>
  </si>
  <si>
    <t>…pesos de'" Ünero de 1808 ; números 239,778 y 304,401 &gt;-y los Otros dos de 300 pesos de Ma yo de í 808, números 435,4-73 y 452,215, los que se hallan retenidos por reclama ción de D. Martin Josef de Larranaga, vecino de la villa de Balsain, para que den tro deLeypresado término comparezcan-por sí ó por .‘medio de procurador y en for ma á usar del derecho que crean asistirles ante dicho señor; con apercibimiento de que pasado sjn, haberlo hecho les parará el perjui…</t>
  </si>
  <si>
    <t>Larroy, Esteban Castillo y</t>
  </si>
  <si>
    <t>Esteban Castillo y Larroy</t>
  </si>
  <si>
    <t>…e desoues se haya tenido noticia positiva de su paradero; y teniendo que comunicarle asuntos in teresantes se suplica á quien sepa su existencia ó muerte la comunique, en Madrid á D. Esteban Castillo y Larroy, calle de Embajadores, núm. ó; y en dicho lugar de Casas de Millan al Lie. D. Tomas Martín Arias, abogado dé los Reales Consejos. Nuevo epítome de gramática castellana, ó método sencillo de enseñar la lengua castellana por los principios generales de la filos…</t>
  </si>
  <si>
    <t>Larrumbide, Josef Antonio de</t>
  </si>
  <si>
    <t>Josef Antonio de Larrumbide</t>
  </si>
  <si>
    <t>…o enlace á nombre de la M. N. y M. L. provincia de Guipúzcoa los -Estemos. Sres* duque de Granada de Ega, y marques de Valmedíano, grandes •de España de primera clase; y los Sres. D. Josef Antonio de Larrumbide, ministro del Real y supremo Consejo de Castilla, y D. Joaquín María de Ferrer yCáfránga, diputado en corte de la referida provincia; el primero de ; los cuales dijó: Señor : ,, Vuestra M. N. y M. L. provincia de Guipúzcoa, la primera de todas las que compone…</t>
  </si>
  <si>
    <t>Lartigue, Juan</t>
  </si>
  <si>
    <t>Juan Lartigue</t>
  </si>
  <si>
    <t>…alacio á 6 de Agosto de 1819. = A D. Josef María de Alós.M La junta suprema de Represalias ha resuelto; que por el término, preciso é improrogable de dos meses se cite y emplace á D. Juan Lartigue, de nación francés, ó á sus herederos legítimos, para que comparezcan á usar del dere cho de que se.consideren asistidos á la propiedad de una casa y huerta, que en las inmediaciones del puerto de Santander construyó dicho Lartigue, y dejó abandonadas en la ú…</t>
  </si>
  <si>
    <t>Laso, Josef</t>
  </si>
  <si>
    <t>Josef Laso</t>
  </si>
  <si>
    <t>…a: tiene de dotación 5© rs. anuales, y hay dos conventos en él pueblo que pa gan por separado. Los que aspiren á obtenerla Erigirán «ús sólicitudes al secretaria' del ayuntamiento D. Josef Laso. j íf ¡ 1 En Ja villa de Priego de Cuenca, en la Alcarria, sehaHar vacante el partido de" cirujano: tiene de dotación 150 fanegas de trigo.pagadas por los vecinos; 100 reales . vn., cuatro fanegas de tiigo y otras cuatro dé cebada qite^ paga,un.convento de mo…</t>
  </si>
  <si>
    <t>Lata, Vicente Ferrer de</t>
  </si>
  <si>
    <t>Vicente Ferrer de Lata</t>
  </si>
  <si>
    <t>…itán Mateo Hernández , quien por ir mon tado en un velocísimo caballo lo perseguí como tres leguas, acompañado so lamente por el entusiasta intrépido y valiente vecino de la Noria D. Vicente Ferrer de Lata, y logré, hacerlo, prisionero: he tornado-16 caballos, ios mas de ¿líos ensillados, 10 carabinas, 3 pistolas, 15 lanzas.;y 8 sables.,, sin.que por nuestra parte haya habido la mas mínima desgracia. La mucha niebla, lo escabroso del terreno, y el mal estado de…</t>
  </si>
  <si>
    <t>Latour-Maubourg</t>
  </si>
  <si>
    <t>…nel de la legión de los Bajos-Pirineos, al conde Félix de Hunolstein , al vizconde de Houdétot, á nuestro primo el mariscal conde Jourdan, al conde Laforest, al conde Lacepede, al conde Latour-Maubourg, al conde de Montalembert, nuestro ministro plenipotenciario cerca de S. M. el Rey de Wurtemberg, al teniente general conde Mauricio Mathieu, al consejero de Estado barón Monnier, al conde Mollieu, al conde de Montalivet, al teniente general conde Marescot, a…</t>
  </si>
  <si>
    <t>Lauaerdale</t>
  </si>
  <si>
    <t>…indulaenda.” En seguida propuso lord Kenion que se nombrase una comisión para to mar informes acerca, del estado y condición de los niños empleados en las fá bricas de algodón; y lord Lauaerdale et mendó esta proposición, indicando que el examen fuese extensivo á los niños empleados en las manufacturas de toda especie- Esta adicio r se desechó por una mayoría de 1*3 yótos contra 8¡, y quedó aprobada la propuesta. . ¿</t>
  </si>
  <si>
    <t>Laüderdale</t>
  </si>
  <si>
    <t>…rowby , presidente de la .comisión secreta encargada de exa minar los negocios del banco, pronmició'uri'discurso muy corto, haciendo va rias propuestas , que fueron impugnadas por lord Laüderdale, el cual ha estu diado muy 4 fondo todas las cuestiones relativas al sistema monetario , y cu ya Opinión constante es que todas las dificultades que se oponen á los pagos en metálico deben' atfifeuirsft ir los, defectuosoír, reglamentos de nuestra admi nistra…</t>
  </si>
  <si>
    <t>Laurino, Luis Barona</t>
  </si>
  <si>
    <t>Luis Barona Laurino</t>
  </si>
  <si>
    <t>…de las monjas de D. Juan de AlarCon dé esta corte , dará razón donde se halla umtéstiniónio de nobleza compuesto de 39 fojas, probado y legalizado en toda forma, correspondiente á D. Luis Barona Laurino, ayudante, mayor qué fue del regimiento provincial-de Lorca, y sargento mayor del de Bujalance, quién se cree murió en Cádiz en el ano 1794: si sus herederos deseasen este documento acudan á dicho señor. . Los suscriptores á la nueva edición de la historia ge…</t>
  </si>
  <si>
    <t>Lavedán, Antonio</t>
  </si>
  <si>
    <t>Antonio Lavedán</t>
  </si>
  <si>
    <t>…á la preparación ■y. composición de los medicamentos, por el doctor en cirugía Josef Jacobo Plenck, traducido, corregido y nuevamente aumentado en esta tercera edición por el Dr. Don Antonio Lavedán, profesor de medicina’, cirujano de egército y de Cámara de JS. M &gt;C."&amp;c. Eá la primera paité de eéta obra se presentan todos los medicamentos siniples de los t^res reinos par^ el uso .exorno que pueden servir en diferentes casos .de cirugía. En la' segundars…</t>
  </si>
  <si>
    <t>Lavedan, Antonio</t>
  </si>
  <si>
    <t>Antonio Lavedan</t>
  </si>
  <si>
    <t>…ismos han merecido general aceptación; y la junta superior de medicina ha mandado que todas las universidades del reino sigan 3a doctrina contenida en ellos. Traducidos por el Dr. D. Antonio Lavedan, profesor de medicina, cirujano de cá mara de S. M. &amp;c.: un tomo en 4.0 Se hallará en la librería de Illescas, calle ancha de Majaderitos, á- 24 rs. en pasta. En lá misma se vende el tratado de las plantas ve nenosas y sospechosas traducido por el mismo Laved…</t>
  </si>
  <si>
    <t>Lavillegontier</t>
  </si>
  <si>
    <t>…s de Talhuet, mariscal de campo, y coronel del 2.° regimiento de los granaderos de á caballo de la guardia, al conde Truguet, vice-almirante, al conde Verhucet, vice-almirante, al conde Lavillegontier. " - 2.0 ,, Queda expresamente derogado en favor de los Pares mencionados lo que dispone el artículo i.° de nuestro decreto de 25 de Agosto de 1817; y en su consecuencia asistirán inmediatamente á la Cámara de los Pares aun cuando no hayan fundado el mayorazg…</t>
  </si>
  <si>
    <t>Lcq, Manuel</t>
  </si>
  <si>
    <t>Manuel Lcq</t>
  </si>
  <si>
    <t>…ada de Villena; cuarto bajo, al lado del Real Monte.de.Piedad. Quien quisiere hacer postura acuda ante dicho señor juez interventor por la escriba nía de provincia y comisiones de D. Manuel Lcq&gt;ez, de JG^as...¡ j r ' En la subdelegacion general de bienes. Mostrencos , vacantes y abintestato se han denunciado todos los bienes y. efectos de que se. compone el vínculo fundado por el Sr. D. Juan Antonio Perca, iriarqdes que fue de Monteverde, vecino de…</t>
  </si>
  <si>
    <t>Lcrenza</t>
  </si>
  <si>
    <t>…; de Tarazona de la Mancha, compuesta dé dos casas con sus correspondientes oficinas ,• tier ras-, arbolado viñedo-, tinajas- de su uso y demas, pertenecientes á los herederos dé' Doña Lcrenza. Atienza:,. viuda' dé D; Juan Bautista Aspiroz , tasada t4la ella en la*</t>
  </si>
  <si>
    <t>Le</t>
  </si>
  <si>
    <t>…de esta corte y de otras plazas del reino, en el día se reclama su propiedad por parte de D Josef Luís Escalada, como administrador de las memorias fundadas por las Excmas. Sras. Doña Le onor María de Carreto y Doña Juliana Teresa Portocarréro, marquesas que fueron de Mancerá, ’ para que en el' preciso y perentorio término' de 2O'dias , contados desdé la publica-ion de este anuncio, comparezcan á deducir sus acciones por dicho ju ga do y escr…</t>
  </si>
  <si>
    <t>Le, Luis de</t>
  </si>
  <si>
    <t>Luis de Le</t>
  </si>
  <si>
    <t>…e de esta catedral. \ Madrid § de Noviembre. El 25 del-pasado tüvieron el honor de felicitará S.M. por su augusto en lace, á nombre del ilustre ayuntamiento de la ciudad de Lorca, D. Luis de Le ntos Taboada, alcalde mayor de la misma, y condecorado cón la Real cruz de Fidelidad de esta muy heroica villa, y D. Antonio Perez de Meca, maes-</t>
  </si>
  <si>
    <t>Leal, Cayetano</t>
  </si>
  <si>
    <t>Cayetano Leal</t>
  </si>
  <si>
    <t>…sca; Vele?, de Calera y Guindo, viuda de Santiago de Bañuclos,; y poseedora idel vínculo fundado por Catalina de Urieta, sus testamentarios D. Francisco Javier de; Pinera, el Lie. D. Cayetano Leal delbarra y E&gt;. Manuel de Furunflarena, lo avisan al publico, para que las personas que se contemplasen con derecho al expresado vínculo y demas bienes que hubiese dejado , se presenten á dichos testamentarios en la referida ciudad por sí ó por susápoderados c…</t>
  </si>
  <si>
    <t>Lean, Pedro</t>
  </si>
  <si>
    <t>Pedro Lean</t>
  </si>
  <si>
    <t>…presidente de Iá Real .junta superior gubernativa de Medicina, individuo del supremo Consejo,de Hacienda &amp;c. &amp;c.', y. egercitaron los discípulos D. Luis Uribe, D. Genaro González, D. Pedro Lean dro Romero, D/ Joaquín Martiñ dé ÑkqláSV'EX Antoñló García Pozó, í&gt;on Vicente Losada y D. Pío Sanca. Sin embargo' dé quetodos lós-aspirantes á los referidos premios han excedido en laSpfúebás'tjúelháñ^dádó para lograr los las esperanzas de- sus mismos catedrá…</t>
  </si>
  <si>
    <t>Lecan-r, Juan</t>
  </si>
  <si>
    <t>Juan Lecan-r</t>
  </si>
  <si>
    <t>…cmo. Sr. marques de la Concordia 3©. Núm. 104. D. N. 80. Núm. 105. Un señor brigadier del egército 80. Núm. 106. D. B. V\ 40. Para el mismo piadoso objeto se han suscrito: Núm. 10 D. Juan Lecan-r da, por el.tiempo de la epidemia, con 20 rs. mensuales- Núm. 11. D. Ra fael Gúzman, por tres meses, con 10 rs. cada uno. Núm. 12. D. Eugenio Villaseñor, mientras dure la epidemia, con 6 rs. diarios. Núm. 13. Sr. C. de A. R., mientras dure la epidemia, con 100…</t>
  </si>
  <si>
    <t>Lecanda, Juan de</t>
  </si>
  <si>
    <t>Juan de Lecanda</t>
  </si>
  <si>
    <t>…Manuela Alvarez 20. Núm. 43. D. Manuel Alemp.te 320. Núm. 44. Don Francisco Navarro, bordador, 60. Núm. 45. Los oficiales de D. Francisco Navarro, maestro bordador, 130. Núm. 46. D. Juan de Lecanda 100. Nú mero 47. D. Ramón Ramos y Poveda 100. Núm. 48. D. N. 40. Núm. 49* D. Laureano Ramos y Peña 20. Núm. 50. D. Juan Antonio Salcedo, cura de S. Ginés de Madrid, 300. Núm. 51. D. Pedro Marcelino Blanco 20. Nú mero =52. El señor cura cíe S. Ginés, por limos…</t>
  </si>
  <si>
    <t>Ledesma, Julián</t>
  </si>
  <si>
    <t>Julián Ledesma</t>
  </si>
  <si>
    <t>…gado; de la l^eqi jpnía D, Francisco González .Beato; en Alba de Tórnies eñ la de D. Antonio María Bergano; en Burgos en la del Lie. D. Cipriano López ; en Ciudad-Rodrigo en la de D. Julián Ledesma; en León en la de D. Santiago León; en Falencia en la de D. Francisco Polo; en el Burgo deOsma en la de D.Bar tolomé Rui/ ; eñ Segovla en la de D Bernardíno del Pozo; en Salamanca en la dé D; Josef Medina;-en Sigüenza en la del Lie. O. Juan.Antonio Mendéz; en…</t>
  </si>
  <si>
    <t>Ledru-des-Essarts</t>
  </si>
  <si>
    <t>…v2¿ de este/messe vérificó la; apertura del curso normal de enseñanza, mutua establecido en Grenoble para la instrucción de los militares. Presidia, este acto el teniente ¡general barón Ledru-des-Essarts, comandante de la sép tima división., y concurrieron á, él- todos los gefes: de los cuerpos y los oficiar lesj.dfe la guárUieion ^ elíteniente general conde- Marchand , el prefeetorcleLls^* re , id corregidor de Grenu^e y. el rector de la academia , que 4e an…</t>
  </si>
  <si>
    <t>Se dio principio á la sesión por un discurso, que pronunció el teniente general barón Ledru-des-Essarts, en el que manifestó el objeto de este nuevo establecimiento; y sin detenerse á probar las conocidas .ventajas de este mé todo , hizo presente que el beneficio de esta enseñanza, debido á la sabiduría del Rey, debía concillarle cada vez mas el amor de los sol…</t>
  </si>
  <si>
    <t>Lenaus, Manuel de</t>
  </si>
  <si>
    <t>Manuel de Lenaus</t>
  </si>
  <si>
    <t>…= En Palacio á 3 de Marzo de 1819. = Al conde de Miranda.’* Por Real resolución de 28 de Enero 'ultimo, á consulta del Supremo Con sejo de la Guerra, se ha servidoS. M. conceder á D. Manuel de Lenaus, prac ticante de cirugía que.ha sido en la última campaña, y en la actualidad re sidente en la villa de Rivadeo, reino de Galicia, el fuero militar y uso de uniforme en. la clase en que sirvió, que le corresponde como comprendido en. la Real orden circular de…</t>
  </si>
  <si>
    <t>Lente, Ignacio Perez de</t>
  </si>
  <si>
    <t>Ignacio Perez de Lente</t>
  </si>
  <si>
    <t>…Antonio Gutiérrez de UÍloa, in tendente de Nueva-Galicia; D. Mariano Antonio de Novoa, coronel dé mi licias; el brigadier D. Sebastián de Ríndelan; id. D. Antonio'-María Alvareé; D. Ignacio Perez de Lente, oficjál dé la primera secretaría dé testado ; D. Josef Villar y Frontín, oficial de la secretaría dél Despacho dé Hacienda; Ddn Honorato Bouyon, brigadier; D. Pedro Leonardo Noriega, teniente coronel; D. Antonio Garfias y Patino, oidor honorario de la Real a…</t>
  </si>
  <si>
    <t>León, Elvira Ponce de</t>
  </si>
  <si>
    <t>Elvira Ponce de León</t>
  </si>
  <si>
    <t>…o sobre sus mayorazgos de principal de 25,^43 rs. y 22 mrs., réditos 1277 anuales, a la cual hay unido un juro situado en las alcabalas de dicha ciudad. r r. Privilegio á favor de Doña Elvira Ponce de León, marquesa de Villanueva deValduerca, de 399,873 mrs. de juro al quitar en millones de Segovía y su provincia. \ ^ ' , 12. Privilegio de juro á favor de D. Juan de Vargas y Megía, vecino de esta corte, de 70© mrs., situado sobre las yerbas de Alcántara. 13. Or…</t>
  </si>
  <si>
    <t>León, Josef Francisco Morejon de</t>
  </si>
  <si>
    <t>Josef Francisco Morejon de León</t>
  </si>
  <si>
    <t>…e Valladolid. A D. Pedro Antonio Arroquia, oidor de la audiencia de Galicia; D. Ra món María Moya, ministro honorario del Consejo Real de Navarra. Alcalde del Crimen de Granada. A D. Josef Francisco Morejon de León. fiscal del Crimen, de la misma. A D. Gaspar Josef de Aguilar, abogado de dicho tribunal. Fiscal del Consejo Real de Navarra. A D. Josef Perez Rozas, corregidor de Logroño. Oidor de la Real audiencia de Sevilla. A D. Alvaro Pareja, oficial de la,, secretaría…</t>
  </si>
  <si>
    <t>León, O.</t>
  </si>
  <si>
    <t>O. León</t>
  </si>
  <si>
    <t>…iario para que. llegue á noticia dedos ausentes é ignorados; apercibidos ios que no concurriesen de qüe les parufá el perjuicio que hubiere lugar. ' 1 En virtud de providencia del Sr. O. León de la Cámara Cano, del Consejo de$. M. en el supremo de Hacienda, se cita á todos los acreedores é interesados de la compañía de íongistas de Madrid, para junta general que ha de celebrarse en la po sada de S. S. el domingo 3 1 klel corriénte, á las nueve de…</t>
  </si>
  <si>
    <t>León, Santiago</t>
  </si>
  <si>
    <t>Santiago León</t>
  </si>
  <si>
    <t>…González .Beato; en Alba de Tórnies eñ la de D. Antonio María Bergano; en Burgos en la del Lie. D. Cipriano López ; en Ciudad-Rodrigo en la de D. Julián Ledesma; en León en la de D. Santiago León; en Falencia en la de D. Francisco Polo; en el Burgo deOsma en la de D.Bar tolomé Rui/ ; eñ Segovla en la de D Bernardíno del Pozo; en Salamanca en la dé D; Josef Medina;-en Sigüenza en la del Lie. O. Juan.Antonio Mendéz; en Santan der en la del Lie. D. Ramón…</t>
  </si>
  <si>
    <t>Lesaca, Josef Joaquín</t>
  </si>
  <si>
    <t>Josef Joaquín Lesaca</t>
  </si>
  <si>
    <t>…enda al Sr. tesorero general la Real .orden siguiente: ,,He dado cuenta al Rey .núes ro Señor de la exposición hecha por el co misario de Guerra destinado á la plaza de S Fernando D. Josef Joaquín Lesaca, que V.S. I. me insertó en su papel.de 10 dd corriente; y compadecido S. M, de la afligida suerte de los vecinos de aquella plaza, se ha dignado man dar que á los,que. np teúgan otros medios de subsistencia se Íes suministre una ración de pan diaria, cuidando…</t>
  </si>
  <si>
    <t>Lesaca, Pedro Josef</t>
  </si>
  <si>
    <t>Pedro Josef Lesaca</t>
  </si>
  <si>
    <t>…atí; D.: Gerónimo Diego Sánchez, y Do» Pedro Bulliez. - ’ .j 1 Honores de gentileshombres de la Real casa. A D. Luis Pizana; D. Manuel de Ibarra y Padilla ; D. Francisco Florez, y D. Pedro Josef Lesaca. Sumilleres supernumerarios de cortina. Al Dr. D. Martin Gil, deán de la santa iglesia de Mechoacan, y Don Josef Vivas de Aragón, canónigo de la catedral de Astorga. Honores de médicos de Cantara. A D. Josef Martínez Gil, y D. Félix Casanova. Honores de ciruj…</t>
  </si>
  <si>
    <t>Leu, Luis de Saint</t>
  </si>
  <si>
    <t>Luis de Saint Leu</t>
  </si>
  <si>
    <t>…s diasí á ésta parte la con desa de Posse, hija del príncipe Canino (Luciano Bonaparte), y Mr. Baceiochi con su muger Elisa. El duque de Monforte está cq Franzensbrura, y el ’ ; ¿ conde Luis de Saint Leu en;;MánéBbad. -^; : ^‘</t>
  </si>
  <si>
    <t>Léuchtemberg, Eugenio de</t>
  </si>
  <si>
    <t>Eugenio de Léuchtemberg</t>
  </si>
  <si>
    <t>…krapatos cubren á la Hungría, la Gallitzia está enteramente abierta por los lados de Rusia y de Polonia. BAVIERA. • ' Munich $ de Abril. . —' ., La Cámara de los Pares insinuó al duque Eugenio de Léuchtemberg (Beauharnois) que se; explicase en francés, mediante .á que sin embargo de haberse aplicado al estudio de la lenga alemana dos años hace, no puede to davía hablarla corrientemente ;nl, con mucha claridad'; y S A. ¡contestó que agradecía la atención de la Cáma…</t>
  </si>
  <si>
    <t>Leunda, Francisco de Paula</t>
  </si>
  <si>
    <t>Francisco de Paula Leunda</t>
  </si>
  <si>
    <t>…ombrar sus Secretarios con egercieío de decretos á los oficiales de la secretaría de Estado -y del Despacho de Ha cienda de Indias D. Ignacio de Michelena, D. Josef María del Rio, Don Francisco de Paula Leunda y D. Josef de Noriega y Posada. De orden del Gobierno se han suspendido1 hasta nuevo aviso las oposicio-, nes á las cátedras de agricultura de Valíadolid, Palencia y Baena. Lo que se hace saber al público para su gobierno. A instancia de los acreedores de Matías Alonso, vecino de…</t>
  </si>
  <si>
    <t>Levoreiro, Francisco</t>
  </si>
  <si>
    <t>Francisco Levoreiro</t>
  </si>
  <si>
    <t>…a broso, nunca ío consiguieron, débido todo al valor y orden de los comandan tes de las partidas, que recomiendo á V. S. muy especialmente. 7 ,,Los. tenientes de Ordenes militares D. Francisco Levoreiro y D. Patita— Jeon Guerra, y subteniente Dv Josef Aguiar; los tenientes de dragones deGuadálupe D. Manuel Romero y D. Manuel Antonio Cacho, y los alféreces de dragones fieles de, Moneada y Guadalupe I&gt;: Ignacio Zorzano, D. Francisco Flores y Dw Josef Ignacio Castillo son…</t>
  </si>
  <si>
    <t>Lézama</t>
  </si>
  <si>
    <t>…entarse, y aun pro porcionar la aprehensión de algunos de sus compañeros siempre que Ies indul tase; y habiéndolas remitido el correspondiente indulto por el conducto del teniente coronel Lézama, situado por ahora (sin perjuicio de su.comision) efc Arque y sus inmediaciones, puesto “en combinación con los referidos caudillos á la madrugada del 5 deF actual logró sorprender la partida que mandaban, tomándoles ir prisioneros, ‘il fusiles, dos cánones d…</t>
  </si>
  <si>
    <t>Lezama</t>
  </si>
  <si>
    <t>…ón de los partes del Perú. ,,En oficio número 17, fecha 2 del actual, manifestaba á V. S. que los caudillos indultados Recabado y Gómez servían de guia á la división del te niente coronel Lezama, que se dirigía en persecución de los demas que infes taban el partido de Arque; y d'icho gefe con fecha de 6 y 13 me avisa haber tomado á Mancocaca con siete de su facción por sorpresa, sufriendo los cau dillos el castigo correspondiente á su temeridad, prec…</t>
  </si>
  <si>
    <t>Lézcano, Felipe de</t>
  </si>
  <si>
    <t>Felipe de Lézcano</t>
  </si>
  <si>
    <t>…uencarral,¡feeha 26 de Enero de 1544 años, aóte&gt;Gines de Peñalosa, escrihano del número de esta villa. 8.® Escritura obtenida en ría Real chancillería de Valladolid á pedimento de D. Felipe de Lézcano, en el pleito seguido én la misma contra la villa de Contrata y su tierra sobre -el pago del canon de 1 70 fanegas de trigo medidas por el marco'de Avila en el año 1570; refrendada del escribano de Cámara D. Gerónimo Santiustei y Se Falla émpergajúiriada. ' 9…</t>
  </si>
  <si>
    <t>Li</t>
  </si>
  <si>
    <t>…oche, y acudió á verlos desembarcar un gentío inmenso. La artillería del puerto hizo el acostumbrado saludo áS. E. Ayer á las 11 de la mañana se reuniéron los ministros en casa de lord Li verpool én W i thehall. '• ’ v ; i.M El sábado á las dos de la tarde hubo un consejo de Gabinete en el depar tamento. de los Negocios extrangeros. Idem 27. Mr. Hasse, individuo del banco, ha manifestado hoy de oficio á la lonja que en caso de abrirse algún em…</t>
  </si>
  <si>
    <t>Li, J.</t>
  </si>
  <si>
    <t>J. Li</t>
  </si>
  <si>
    <t>…m.,;f 34. Doña G.iD. Mi 32Q.~¿Núm. 535^.ÜOÍ^gwBnensorjNqm. &lt;536. El. S.,L).M. -yS* Nuéíi..:537..El señor pura;de S;&gt; Sebagtia^i, por-llmospa recibida-de un feligrés, 40. Núm. 538. D. J. Li 20. Núm* 539..D. Josef de^02?as 300. l^íu-, mero-,54o. Los actores, actrices, y demas dependientes del teatro del Prín cipe de esta M. H. villa, por el producto de una función extraordinaria que barí égecuía4&amp;V-.J&amp;P2Q rs. cycJi mrs,;¡Ni%n*' 5;41* El Excmo.; S…</t>
  </si>
  <si>
    <t>Light</t>
  </si>
  <si>
    <t>319</t>
  </si>
  <si>
    <t>…curiosidad de los viágeros, llaman particularmente la atención los grandísimos-templos subterráneos de Girshé y de Ebsambul, que asi llama Mr. Burekhardt á aquel parage, aunque el capitán Light le da el nombre de Absimbul, y Mr^ Belzont el^de If&amp;ambuL Dos veces ha subido este último viagero á la Nubia, y habiéado-</t>
  </si>
  <si>
    <t>Lignan</t>
  </si>
  <si>
    <t>…; Don Josef Martínez, coronel agregado al regimiento de Zaragoza; D.Pedro Perez S. Julián , comandante del primer batallón de Zaragoza; D. Bernardo Vergara, capitán,, ayudante del general Lignan; D. Manuel Alvarez, capitán delTetúmíento 'deZaragoza; D.Manuel Lara, teniente de idem ; D. Manuel Soriano, idem; D. Antonio Tuya, idem; D. Ramón Soto, sargento mayor del regi miento de la Puebla; D.-Francisco de Paula Landa, idem del de dragones de S. Luis;…</t>
  </si>
  <si>
    <t>Liiisa'Carlotá</t>
  </si>
  <si>
    <t>…áho la ^eñitrega-íde ?laiReal Persona de la &gt;Sra; Infanta á S. A. el Señor Infante D. Francisco, y S. A. dijo admitía y recibía, y coñ-toda veneraciónse entregaba de taSra/ínfanta Doña Liiisa'Carlotá; su Esposa ; y S. M. el Rey nuestro ’Señor j, em vista de esta declaración del Sí.' Infante , apartando, co mo apartó desde luego y al referido, marques de la Lapida de la obligación en que se había constituido de-hacer lá competente entrega de la-RealPersona…</t>
  </si>
  <si>
    <t>Liñan, D-Pascual de</t>
  </si>
  <si>
    <t>D-Pascual de Liñan</t>
  </si>
  <si>
    <t>…nó descansaré hastá consegüirlo. ,,Dios guarde á V. S. muchos anos. Campamento de Sta. María ..Enero 16 de 1819. = Antonio López de Sta. Ana. = Sr. mariscal de campo y co mandante general D-Pascual de Liñan.” El Excmo. Sr. virey mandó dar las gracias en nombre de S. M¿ al capii** tan Sta. Ana, sus subalternos y tropa. Tarragona 12 de Julio. , A mediados del mes de Junio último la academia de nobles artes de esta ciudad adjudicó un premio á cada uno de los cuatro…</t>
  </si>
  <si>
    <t>Liñañ, Pascual</t>
  </si>
  <si>
    <t>Pascual Liñañ</t>
  </si>
  <si>
    <t>…yeneche, obis po de Arequipa; D. Baltasar Hidalgo de Cisneros; D. Carlos Urrutia, capi tán general de Goatemala; el teniente general D. Josef de Bustámante, y el mariscal de campo D. Pascual Liñañ. Comendadores de la misma, D. Ignacio Adalid Gómez de Pedroso, vecino de México; D.JNicolas Pícoaga, coronel graduado de milicias; D. Antonio Gutiérrez de UÍloa, in tendente de Nueva-Galicia; D. Mariano Antonio de Novoa, coronel dé mi licias; el brigadier D.…</t>
  </si>
  <si>
    <t>Linares</t>
  </si>
  <si>
    <t>…enda de la Caja Enero 17 de 1819 á las ó de la tarde. = Pedro Ruiz de Otaño. sr Sr. coronel y comandan te general D. Antonio'de Linares.’’ V . El Excmo. Sr. virey ha contestado al Sr. Linares dándole las debidas gra cias en nombre de S. M. por el esmero con que da cumplimiento á sus supe riores órdenes á efecto de que sin cesfar se persiga á los enemigos de la quie tud pública; y le há prevenido que en el mismo Real nombre se las dé á los honrados…</t>
  </si>
  <si>
    <t>Linares, Antonio</t>
  </si>
  <si>
    <t>Antonio Linares</t>
  </si>
  <si>
    <t>…dama Huzard, de Bénard, y de Xreuttel y Wurtz. . • • ■ . ' ESPAÑA. ■ . • Jr ' ‘ ' Mixteo 2 de Febrero. Parte deí teniente coronel Z&gt;. Pedro Ruiz de Otaño al coronel y coman* dante general D. Antonio Linares. ,,En la mañana de este dia á las 10 de ella or que el vigía de esta guar nición avisaba que los rebeldes en gran número se aproximaban por el rumbo del Copal, hacia tas inmediaciones del pueblo, lo que improvisamente suce dió echándose coa bastante audacia s…</t>
  </si>
  <si>
    <t>Linares, Antonio de</t>
  </si>
  <si>
    <t>Antonio de Linares</t>
  </si>
  <si>
    <t>…tres paisanos, á los que he gratifi cado con cinco pesos á cada uno. ,,Dios guarde á V. S. muchos años. Guanajuato Junio 4 de 1818. = Ma-* nuel BezaniIla.=Sr. coronel y comandante general D. Antonio de Linares.” Idem ir de *Julio, COMANDANCIA GENERAL DE PUEBLA Y VERACRUZ. Oficio del brigadier y comandante general JD. Ciríaco de Llano. , „ Excmo. Sr. : No hay novedad di^na dé la superior atención de É. ¿enloda la .provincia deiPuebla.que está a múcargo; ninguna gavi…</t>
  </si>
  <si>
    <t>…istinguido. &gt;,Dios guarde á V. S. muchos años. Irapuato Diciembre 30 de i8i8.=Pedro Ruiz de Otaño. =rSr. coronel y comandante general D.' Antonio de Uñares.’* Parte del comandante general D. Antonio de Linares. ,, Excmo. Sr.*. En el momento que supe en Gelaya la desgracia ocurrida en el destacamento de la Barranca, correspondiente á la demarcación de Querétaro, y que la había causado el sanguinario y vil cabecilla Bustamante, rae propuse perseguir á este faccioso,…</t>
  </si>
  <si>
    <t>…uyo motivo se hacen mil conjeturas, ha causado una viva sensación. - ' ' &gt; ' ' 1 ESPAÑA. J " ” i . &gt; &gt; . .' • ‘ JMéxico &amp; de Febrero. PROVINCIA DE GUANAJUATO. Oficio del coronel y comandante D. Antonio de Linares} dirigido al vi— . rey deNueva- España^ ..... ... . .. ... . •; r;' ,,Excmo. Sr.: En el adjunto par té me manifiesta el teniente coronel t)on Pedró Ruiz de Otaño haber logrado aprehfender al titulado coronel Juan Co rona y á otros tres rebeldes , siendo el pr…</t>
  </si>
  <si>
    <t>Liona, Josef</t>
  </si>
  <si>
    <t>Josef Liona</t>
  </si>
  <si>
    <t>…as personas siguientes: Número 37. D. Francisco Xavier y su hijo D. Julián, durante ?a epide mia, con 30 rs. mensuales. Núm. 38. Doña C. F , por ídem, con 2 rs. dia rios, Núm. 39. D. Josef Liona y su consorte Doña Josefa Liona, por ídem, con 30 rs. mensuales. Núm. 40. D. Genaro Rivas y Losa, por iduu, con a reales diarios. 1 -</t>
  </si>
  <si>
    <t>12 6* Nüm. 597- D. Josef Liona , y su esposa Doña Josefa Liona, por el producto de recibos de intereses de vales importantes 180 rs. y 17 mrs. ,4 rs. y .17 mrs. Núm. 598- EL limo. Sr. deán y cabildo de la santa iglesia catedral de Tortosa i®. Núm. 599. X&gt;. M. M. $0. Núm. 6oc&gt;. D. Manuel Me…</t>
  </si>
  <si>
    <t>Liona, Josefa</t>
  </si>
  <si>
    <t>Josefa Liona</t>
  </si>
  <si>
    <t>…o 37. D. Francisco Xavier y su hijo D. Julián, durante ?a epide mia, con 30 rs. mensuales. Núm. 38. Doña C. F , por ídem, con 2 rs. dia rios, Núm. 39. D. Josef Liona y su consorte Doña Josefa Liona, por ídem, con 30 rs. mensuales. Núm. 40. D. Genaro Rivas y Losa, por iduu, con a reales diarios. 1 -</t>
  </si>
  <si>
    <t>12 6* Nüm. 597- D. Josef Liona , y su esposa Doña Josefa Liona, por el producto de recibos de intereses de vales importantes 180 rs. y 17 mrs. ,4 rs. y .17 mrs. Núm. 598- EL limo. Sr. deán y cabildo de la santa iglesia catedral de Tortosa i®. Núm. 599. X&gt;. M. M. $0. Núm. 6oc&gt;. D. Manuel Menendez iqo Núm. 601. D. Faustino…</t>
  </si>
  <si>
    <t>Lisa, Vicente</t>
  </si>
  <si>
    <t>Vicente Lisa</t>
  </si>
  <si>
    <t>…e D. Juan Modesto de la Mota á oidor del mismo tri bunal , y traslación de D. Fernando Josef de Toledo y el Corral á otra de igual clase de la de Valencia, á D. Vicente Fuster y á D. Vicente Lisa y las Balsas, también alcaides del crimen de la expresada audiencia de Valencia. Igualmente se ha dignado S. M. conceder á D. Tadeo Ignacio Gil, gober nador de la sala del crimen de la insinuada audiencia de Valencia, los hono res de alcalde de Casa y Corte:…</t>
  </si>
  <si>
    <t>Lista, Alberto</t>
  </si>
  <si>
    <t>Alberto Lista</t>
  </si>
  <si>
    <t>…ados de la audiencia de S. S., y les parará el per juicio que haya lugar. , Tratado elemental de aritmética para el uso de las escuelas de matemáticas del consulado de Bilbao, por D. Alberto Lista, profesor de dichas escuelas. Comprende Jodas las teóricas á que puede alcanzar la aritmética sin el auxilio del análisis: las propiedades de los restos, las de los quebrados, las de los períodos decimales y el principio de los inconmensurables están demostra…</t>
  </si>
  <si>
    <t>…ente; en. la inteligencia de que el 3 de Octubre se proveerá en-el mas benemérito. o i Tratado de álgebra elemental para el uso de la escuela del ilustre consulado de j^ílbao, por D. Alberto Lista, catedrático de la clase de matemáticas. En este trata do se exponen los principios-con arreglo al estado-actual de la ciencia: las demos traciones son rigurosas; se interpretan con toda claridad las expresiones exóticas del idioma algebraico, y se presentan…</t>
  </si>
  <si>
    <t>Litiares, Antonio de</t>
  </si>
  <si>
    <t>Antonio de Litiares</t>
  </si>
  <si>
    <t>…lleros de Carlscroha antes de volver' á Stéckolmo-.. &lt; • ' . ’ ‘ ' ■' ' ' ESPAÑA. ■ '' ' ; . México ii de Febrero, Continuación delos'partes de Nueva-Espafía. Parte del comandante general D. Antonio de Litiares. ' ,,Exorno. Sr;: El teniente coronel D. Manuel.de Cimavilla, comandante militar de esta, me manifiesta-en el adjunto parte que habiendo atacado los de Jalpa al pqeblo .de^Apaseo el io del corriente fueron rechazados los rebel des con pérdida de 8 muertos, si…</t>
  </si>
  <si>
    <t>Liverpool</t>
  </si>
  <si>
    <t>…an de Kcia*urbdií íp&amp;ó.- ' -^ -ó ' ' ■ • ' ■ ' . ,'íf W ? • :**." U '■ T ' :■&lt; ’V- ■ ’ &lt; }¿? Í¡/Kí ■ ' ' G R A N. B R..E T A N A. , ,&lt;; JLóndrej ii de Febrero. Habiendo presentado lord Liverpool á la Cámara de los Pares varios do-</t>
  </si>
  <si>
    <t>…odo de pagar en barras ó en moneda, lo que le proporcionaría el tiempo necesario para aumentar sus fondos. El bilí pasó con esta corrección, y en el discurso de la sesión confirmó lord Liverpool lo que anteriormente nabia dicho acerca de que no tendria ya necesidad el Gobierno de hacer em préstitos mientras durase, la paz, observando no obstante que para el año ve nidero se reservaba proponer un empréstito de cinco millones para completar eí reembols…</t>
  </si>
  <si>
    <t>Lizana, Benito</t>
  </si>
  <si>
    <t>Benito Lizana</t>
  </si>
  <si>
    <t>…ie. O. Juan.Antonio Mendéz; en Santan der en la del Lie. D. Ramón de Egnarasyen Valladolid en 1a del Dr. D. Luis Me-' j&gt;a; en Astorga en la de D. Gaspar Tardío: én Toledo en la de D. Benito Lizana; en Ciudad Real en la de D. Francisco Morales; en Cuenca en la de D. Manuel Faustino de César; en Badajoz en la del Dr. D. Jaime Brancos; en Plasencia en la de D. JoseCP io López.Samaniego; en Villanueva de la Serena en la de D. Bernardo Bd^tip’enGranada en '…</t>
  </si>
  <si>
    <t>Lla, Ciríaco de</t>
  </si>
  <si>
    <t>Ciríaco de Lla</t>
  </si>
  <si>
    <t>…radas por la buena conducta militar que ha tenido en la conducción á V eracruz y su vuelta de un convoy tan crecido, y ha aprobado fes disposiciones que tomó él comandante general brigadier D. Ciríaco de Lla no para proteger su marcha. Madrid l£&gt; de Mayo, ARTICULO DE OFICIO. El dia 14 de este mes á las cinco de la tarde fondeó en el puerto de Bar celona el n^vío napolitano conductor de la Serma. Sra. Princesa de Nápoles pona Luisa Carlota, augusta esposa del Serm…</t>
  </si>
  <si>
    <t>Llagas, Melchor Cortés y</t>
  </si>
  <si>
    <t>Melchor Cortés y Llagas</t>
  </si>
  <si>
    <t>…iño josa.. Segundo de la ciudad de Córdoba. A D. Angel Martínez del Pozo. : De Camprodons. A D. Estanislao Oloriz y Este!les. De Berga. A D. Salvador Arnaldo y Segaría. De Elda. A D. Melchor Cortés y Llagas.; , , ' . . ' En América.• El Rey nuestro Señor-se ha dignado nombrar para la pía* .z&amp; de oidor .de la-Real audiencia dé Charcas , vacante; por .promoción de Don Francisco Xavier Manzanos á regente de la de Quito, á D. Nicolás Arana jCalbache: parada plaza de…</t>
  </si>
  <si>
    <t>Llamas, Juan Rodríguez</t>
  </si>
  <si>
    <t>Juan Rodríguez Llamas</t>
  </si>
  <si>
    <t>…un vale Real de 300 pesos, creación de i.° dé Mayo de 1814, núm. 30639 , y el segundo de otro vale Real también de 300 pesos y mis ma creación, mím. 9962, retenidos á instancia de D. Juan Rodríguez Llamas, para que acudan en el citado término por el juzgado del Sr. D. Angel Fernandez de Jos Ríos, teniente corregidor de esta muy heroica villa y escribanía numeraria de D. To mas de Sancha y Prado á usar de su derecho en forma, pues pasado se procederá á lo que h…</t>
  </si>
  <si>
    <t>Llampalfas, Antonio</t>
  </si>
  <si>
    <t>Antonio Llampalfas</t>
  </si>
  <si>
    <t>…ribles males con secuentes al descuido é indolente tolerancia.” ■ .• . i , « . , • . . . : v ■; - . . l i :;t ; - . • . : . • . * * • Eí Rey nuestro Señor se ha dignado conceder á D. Antonio Llampalfas el privilegio de colocar sóbre las puertas de su fábrica de galones de oro, plata y seda, establecida en la ciudad dé Barcelona, y Jas de los almacenes donde los venda-*, el escudo de armas Reáléy con el título de Real; eh conformidad .del. floreciente estado…</t>
  </si>
  <si>
    <t>Llano</t>
  </si>
  <si>
    <t>…laza , y entrará mañana, un gran con-r voi procedente de México; pero el de plata se ha suspendido por disposición de| virey : hasta filies de Marzo ó. principios de Abril. ' c El brigadier Llano se ha restituido á Puebla en consecuencia de la paciífc¿ación de este país; estamos persuadidos de que seguirán los demas cabecillas aprovechándose de la gracia del indulto ,T&gt;y de qué en breve lograremos re«v brar la quietud en todo el reino. ....... 1 . &lt; :…</t>
  </si>
  <si>
    <t>…, j . „Dios guarde á vmd- muchqs años. Tepe,aca Enero 20 de 1819.s josef de Saravia. =Sr. comandante de armas de Amozoque.” ; r S. E. da las debidas gracias en nombre de S. M. al Sr. Llano, á quien pre viene ks dé igualmente al coronel marques de Vivanco y á ios demas co mandantes que se mencionan en esta por su esmero en comunicarle tan plau sibles é interesantes noticias.</t>
  </si>
  <si>
    <t>Llano, Ciríaco de</t>
  </si>
  <si>
    <t>Ciríaco de Llano</t>
  </si>
  <si>
    <t>…ienda 257.100© francos. ESPAÑA. ■ México 15 de Setiembre, Continuación de los partes de Nueva-España. COMANDANCIA. GENERAL DE PUEBLA Y VERACRU2*. Oficio del brigadier y comandante general D. Ciríaco de Llano. ,,Excmo. Sr. : Elevo á manos dq V\ E. el parte original que de sus últi mas operaciones me ha dirigido desde Actopan el coronel D. Josef Barradas. ■ „En él verá. V. E. la completa pacificación del Arenal y Monteverde; y por tanto es de mi deber reiterar á V.…</t>
  </si>
  <si>
    <t>Llano, Fernando Queipo de</t>
  </si>
  <si>
    <t>Fernando Queipo de Llano</t>
  </si>
  <si>
    <t>…a junta general anterior con los requisitos y formalidades acos tumbradas. ARTICULO DE OFICIO. 4 El dia 27 de Febrero tuvieron la honra de presentarse á S. M. y AA. el Excmo. Sr,. D. Fernando Queipo de Llano, ei marques de Casa-Madrid, gentileshombres de Cámara con egercicio, y D. Domingo Ramírez de Areliano (que lo/es con entrada), caballeros maestrantés de la Real de Ronda, quie nes' á; nombre de este Real cuerpo dieron á S. Mi. y AA. el mas sentido pésa me 'po…</t>
  </si>
  <si>
    <t>Llano.’, Ciríaco de</t>
  </si>
  <si>
    <t>Ciríaco de Llano.’</t>
  </si>
  <si>
    <t>…os puntos obligaron á las tropas á hacer uso de la bayoneta. ,,Dios guarde á V. S. muchos años. Campamento del Arenal Mayo 3 de 1818. = Ignacio. Amor. = Sr. brigadier y comandante general D. Ciríaco de Llano.’* 1 , /. ; . Idem 24 de Junio. En gaceta extraordinaria de este día se han publicado los partes sigulentesj</t>
  </si>
  <si>
    <t>Llanos, Blas</t>
  </si>
  <si>
    <t>Blas Llanos</t>
  </si>
  <si>
    <t>…r cibidos que pasado dicho término sin haber comparecido le.s parata" el perjuicio que háyá lugar. ' ' . r' "h ' : i'-- r ‘ :;• &lt; Memoria sobre la calentura puerperal, por el Lie. D. Blas Llanos * individuó del Real colegio de medicina de Madrid y de su Real academia médica &amp;c. Esta ,mc-¡ moría, que puede considerarse como üna-reforma- deda que han llamado calentura puerperal, es uno de los"Frutos inas importantes que en favor de la especie humanan h…</t>
  </si>
  <si>
    <t>Lledias, Francisco</t>
  </si>
  <si>
    <t>Francisco Lledias</t>
  </si>
  <si>
    <t>…. G. 2©. Núm. 22. D. N. 300. Núm. 23. D, N. 4. Núm'. 24. D. Custodio Alcaldeun vale Real de 150 pesos. Núm. 25. D. N. 100. Núm. 26. Doña N. 20. Núme ro 27. D. D. B . 100. Núm. 28. D. Francisco Lledias 200. Núm. 29. D. Do mingo Ortiz de Urbina 200. Núm. 30. D. R. A. 20. Núm. 31. D. N. 80. Núm. 32. D. Agustín Sanz, maestro sastre, 60. Núm. 33. D. A. V. 100.Nú mero 34. D. Ventura Fernandez loo. Núm. 35. D. Manuel Centurión320. Núm. 36. D. M. H. 1500. Núm. 37.…</t>
  </si>
  <si>
    <t>Lleopact, Isidro Mácía de</t>
  </si>
  <si>
    <t>Isidro Mácía de Lleopact</t>
  </si>
  <si>
    <t>…r de la villa de Segtír'a de Leon:, vacante por fallecí— miéntd de D. Ftáncisco Javier Montero y Losada; y para la de la yjíia dé Villafranca de los Barrbs,' &lt;^ue ló está porél de D. Isidro Mácía de Lleopact, á D. Cayetano Benedicto. A., w - A su.</t>
  </si>
  <si>
    <t>Lleoparf, Ramón Macía</t>
  </si>
  <si>
    <t>Ramón Macía Lleoparf</t>
  </si>
  <si>
    <t>…'■ ■ &gt; i'•?A . RTi IGV ."¡r.¡í7'üli S. M. se ha servida nombrar pata'; dos plazas de, oidores de la Real au diencia de Valencia, vacantes por promoción de D. Miguel Ramon: Modet y D. Ramón Macía Lleoparf, a D. V ícente .Borja , alcalde del crimen, de la misma, y á D. Dalmacio Alpuente, fiscal de U*. civil del propio tribunal: para esta plaza á D. Josef Ayuso y Navarro, que lo es del crimen de la mis ma; y para esta resulta á D. Fermín Gil. de Linares, fiscal…</t>
  </si>
  <si>
    <t>Llera, Manuel</t>
  </si>
  <si>
    <t>Manuel Llera</t>
  </si>
  <si>
    <t>…ancisco, satisfaciendo oportunamente á cuántas preguntas lés hicierónf.) 1 El dia 14 se dio principio á los egercicios con una breve y peróéloeúerite Oración latina, que pronunció D. Manuel Llera: en ella ponderó la necesidad de remover los obstáculos que impiden que los alumnos aprendan cotí púreZá la lengua latina, y los conocimientos que se requieren en los profesores que la enseñan. * .; La expedición con que se producían los discípulos , y la pro…</t>
  </si>
  <si>
    <t>Llobregat, Eduardo Guirondells</t>
  </si>
  <si>
    <t>Eduardo Guirondells Llobregat</t>
  </si>
  <si>
    <t>…e dijo el Sr. Secretario; del Despacho 'de Hacienda de Indias lo, siguiente;; Y., é,¡ , Y, ■ ; ' . „ Entecado de- la exposición que ha dirigido al ministerio del cargo de V. Ef. . D. Eduardo Guirondells Llobregat, vecino de Barcelona', proponiendo como'me jor recurso para facilitar la exportación de .granos-de Castilla que se;relevé á las .harinas españolas, del pago de dos duros que por, cada'barril se exqen en Atná_rica; que se suprima el 4 por too de bandera; y que…</t>
  </si>
  <si>
    <t>Llopis, Eudaldode Boatella y</t>
  </si>
  <si>
    <t>Eudaldode Boatella y Llopis</t>
  </si>
  <si>
    <t>…embre delaño pasado, entre otras cosas se manda se cite y emplace por medio de la gaceta ministerial á los parientes de la difunta Doña María Francisca Boatella y Salvat, viuda de-D. Eudaldode Boatella y Llopis , moradora de la parroquia de rS. Martí de. Boatella, sufragánea de la ¡iglesia parroquial .de S.Vicente de Palmerola, ^obispado 'de Solsoqa, hija de D. Juan Bautistá Salvat y Gullar Burges de Peipiñaa y de Magdalena Salvat y Tomasa, para que losqqe,se consid…</t>
  </si>
  <si>
    <t>Llord, Ramón</t>
  </si>
  <si>
    <t>Ramón Llord</t>
  </si>
  <si>
    <t>…ntes. El^S-r. -ID; 'Vicente .Martínez, primer médico dé S. M. ,y presídeme de la academia, tuvo á bien dar comisiona, los Sres. JDon IFraWhco' Ruiz , D Ignacio Rifíz dé Luzuriñga, D. Ramón Llord, D. Blas -Llanos:, &lt;D. Tedrn Xaphma , D. ÍMañuel' Círsal y D. Vicente ‘Carrasco, paca r^ue ton todo esmero y prólifídad hiciesen dbsén?acfones sobre esta raíz;*y las -que ofrecen los que Kan terfido oea^ióíi de examinarla han correspondido en Afecto *4 las/es…</t>
  </si>
  <si>
    <t>Lluc, Juan Bautista</t>
  </si>
  <si>
    <t>Juan Bautista Lluc</t>
  </si>
  <si>
    <t>…nte el escribano de provincia y comisiones dé la mis? •rita D. Mánuel Lopez dé Ribas, se ha mandado publicar por diez dias mas la subasta •de la casa propia de la testamentaría de D. Juan Bautista Lluc, sita en la calle Reai del Avapies, núm. 22, manzana44, que sé halla sin concluir, y tiene de sitio 2103 pies de superficie; retasada últimamente en 40570 rs., y se halla rematada en 30® rs. en efectivo metálico', rebajadas de ellos todas las cargas y graváme…</t>
  </si>
  <si>
    <t>Lo</t>
  </si>
  <si>
    <t>…villa dé Tarazoná de ía Mancha, compuesta de dos casas con sus oficinas correspondientes, tierras, árboli do , viñedo, tinajas de su uso y demás, pertenecientes 4 los herederos de Doña Lo renza Atienza, viuda de D. Juan Bautista Aspiroz, tasada todacllaen la cantidad de 334,273 rs. vn. Quien quisiere hacer postura-acuda ante dicho señor juez y escri banía vacante de D. Antonio López ade Salazarv que se admitirán las que se hicieren siendo arre…</t>
  </si>
  <si>
    <t>…jo 120. Núm. 124. D. J. IL. 18. rs. y 2-4 mr$.Núm. 125. El R. P. abad y cura de S. Martin de Madrid, por limos nas 'recibidas de los feligreses de dicha parroquia, 1882. Núm. 120. D. Lo renzo Ximenez 60. Núm. 127. Doña N. 4. Núm. 128. D. Josef Galvez 12. Núm. 129. D. A. M. H. 100. Núm. 130. D. N. 20. Núm. 131. El señor cura de S. Justo y S. Miguel de Madrid,, por limosnas recibidas de sus feligreses, 1670. Núm. 132. Un farmacéutico 300. Núm.…</t>
  </si>
  <si>
    <t>Lo, Cárlos</t>
  </si>
  <si>
    <t>Cárlos Lo</t>
  </si>
  <si>
    <t>…dades térritoriaies j á fin de que separen á los consortes. ; ' '/i', -y-' • SUECIA. ‘ . \|¡v; ^ . ,V.? Stockolmo 13 de Abril. 5 •. •: Enmes rde jüriiór;p&gt;dximó saldrá' de’aqui el conde Cárlos Lo#enhieím á servir su plaza de ministro cerca de la corte de Rusia. - - c El general conde de Mpntricharcl ha ¿ido nombrado comendador de la orden de la Espada. Dicen qué ha desempeñado completamente la comisión con qué -le envió desde Francia la Reina í su aug…</t>
  </si>
  <si>
    <t>Ló, Narciso</t>
  </si>
  <si>
    <t>Narciso Ló</t>
  </si>
  <si>
    <t>…os se batió bizarramente con la tropa que puse á sus órdenes. Merece la mas distinguida recomendación el valiente escua drón de carabineros que. manda el teniente coronel graduado D. Narciso Ló pez-, quien con el valor que repetidamente tiene tan acreditado, lo condujo ajas tres cargas que se dieron á la infantería enemiga, distinguiéndose en</t>
  </si>
  <si>
    <t>Lobaton, Josef Agustín</t>
  </si>
  <si>
    <t>Josef Agustín Lobaton</t>
  </si>
  <si>
    <t>…" ■ Cruces de número de la misma orden. ,A D. Francisco Marín, del Consejo y Cámara de Castilla; D. Agustín Perales &gt; oficial deJá secretaría de Estado y del Despacho de Marina, y Don Josef Agustín Lobaton, capitán de navio de la Real Armada. . Supernumerarias. A D. Josef Nebot, comisario de Guerra; D. Benito Lápicdra, comisa rio ordenador honorario; al conde de Regla marques de S. Cristóbal, gentil» .hombre dq Cámara ; D. Antonio López de Haro, alguacil mayor…</t>
  </si>
  <si>
    <t>Lobau</t>
  </si>
  <si>
    <t>…umento á la memoria de Funck, autor de varias obras relativas á la educación de la juventud. Dicen que antes de salir de París el duque de VVellíngton tuvo una con ferencia con el conde Lobau, que ha vuelto á Francia. Se han concluido los planes para la egecucion del concordato de, Nápoles en todos .sus puntos, y han sido presentados al Rey : se trata principalmen te de fijar las dotaciones de lás iglesias y conventos que se han de restablecer. Co…</t>
  </si>
  <si>
    <t>Loechas, Jacinto Gaona y</t>
  </si>
  <si>
    <t>Jacinto Gaona y Loechas</t>
  </si>
  <si>
    <t>…descanso se oraba. Por providencia del Sr. D. Manuel Josef Rubio, del Consejo de S. M., y te niente de corregidor de esta muy heroica villa, refrendada de su escribano del núme ro D. Jacinto Gaona y Loechas , se han mandado vender en público remate dos es crituras de imposición en la renta del tabaco de á 22,600 rs. cada una, y 51 libra mientos de intereses de la misma renta, importantes 47,566 rs. con i4mrs., y gg recibos de intereses de vales Reales que ascien…</t>
  </si>
  <si>
    <t>Loechéá, Jacinto Gabna y</t>
  </si>
  <si>
    <t>Jacinto Gabna y Loechéá</t>
  </si>
  <si>
    <t>…'1 “ 1 i,"~ ; | ■ , . • Por?providencia del Sr, D/Manuel Joséf Rubio, debGonsejo de,S. M. y tenien te de .corregidor detesta hiuy heroica villa; refrendada del escribano de numero Don Jacinto Gabna y Loechéá , se ha vuelto á señalar el dia 30 del corriente , en su au diencia y hora de las 17 \ para el remate de unas casas en Ja villa de Pinto, sitas en. las i calle de los Arbañalés/tasadas en, y8.654.rs.: dos palomares en las mismas, valuados! «H'‘§.8,:8&lt;54ri¿s'.…</t>
  </si>
  <si>
    <t>Loeches, Jacinto G-aoná y</t>
  </si>
  <si>
    <t>Jacinto G-aoná y Loeches</t>
  </si>
  <si>
    <t>1211</t>
  </si>
  <si>
    <t>…un lugar á otro dado. Por providencia del Sr. D. Manuel Josef Rubio, del Consejo de S. M., y te niente corregidor de esta muy heroica villa, refrendada de su escribano del número D. Jacinto G-aoná y Loeches, se ha vuelto á señalar el dia 6 de Diciembre próximo en su audiencia, y hora de las 1 2 de su mañana, para el remate de unas casas en la villa de Pinto, sitas en la calle de los Arbañales, tasadas en 78,654 rs.: dos palo mares en las mismas valuados en 38,86…</t>
  </si>
  <si>
    <t>Loeches, Jacinto Gaona y</t>
  </si>
  <si>
    <t>Jacinto Gaona y Loeches</t>
  </si>
  <si>
    <t>…corregidor de esta muy heroica villa, y hora de las doce á una. Quien quisiere hacer postura á todas ó cada una de dichas fincas acuda ante S. S. por la escribanía del nú mero de D. Jacinto Gaona y Loeches. En virtud de providencia del señor teniente de corregidor de esta muy heroica villa D. Manuel Josef Rubio, su fecha 14 del corriente, refrendada del escribano del número D. Juan Antonio de Urraza, se cita» llama y emplaza á Doña Felipa de lambiera, para que…</t>
  </si>
  <si>
    <t>…e de corregidor de esta muy heroica villa, de doce í -una de su tarde. Quien quisiere hacer alguna mejora acuda en dicho dia y ante el mis mo señor juez y escribanía del numero de D. Jacinto Gaona y Loeches, que se ad mitirán las que hiciesen siendo arregladas. - : Quien tuviesei noticia del lugar donde resida la madre de Doña Tomasa Gijon, esposa de D. Juan Indaburu, capitán quefue del regimiento fijo de Guayaquil, que han.fallecido sin sucesión, se servirá avi…</t>
  </si>
  <si>
    <t>…o Miranda y Hoyos. Por providencia del Sr. 1&gt;. Manuel' Jósef Rubio, del Consejo de S. M., y te díente- corregidor de esta muy heroica villa', refrendada.dé sú escribano del húmero D. Jacinto Gaona y Loeches* se han mandado sacar á pública subasta por término de 30 dias, contados desde 26 de Mayo próximo pasado , las: casas, palomar y demas bienes siguientes*, dos casas sitas en la callé dé lo$ Albáñales dé la villa de Pinto, que tienen de sitió 10466 pies cuadra…</t>
  </si>
  <si>
    <t>…on distinción dichos papeles acu da ante el Sr. í&gt;. Manuel Jos^f Rubio,; del,ponsejo,de S. M., y,teniente de corre gidor de esta muy heroica .Villa, porla ^cribáníp fiel número de D. Jacinto Gaona y Loeches; en la inteligencia de que para su remate se ha señalado el dia 24 del cor riente en la audiencia de S, S., y hora de las 12' del mismo dia. Método que enseña á jugar á las damas' con espada y broquel, dividido en tres tratados que comprenden, cuantoh'áy que…</t>
  </si>
  <si>
    <t>…sta córte, para que dentro del. término de 30 dias, con tados desde este de la fecha, acudan por sí ó por medio de apoderado legítimo á su juzgado por la escribanía del .número de D. Jacinto Gaona y Loeches á exponer y so licitar lo que á su derecho convengi ; en la inteligencia que de no hacerlo les parará el perjuicio que haya lugar. ' n Se halla vacante la plaza de médico de la villa de Cuerva, cuya población se cora^ pone de 200 vecinos, y es de los pueblos…</t>
  </si>
  <si>
    <t>Loechés, Jacinto Gaona y</t>
  </si>
  <si>
    <t>Jacinto Gaona y Loechés</t>
  </si>
  <si>
    <t>…u3 queda prevenido. Por providencia del Sr.,D. Manuel Jpsef Rubio, dei Consejo de S. M., y tenien te de corregidor de está muy heroica/villa, refrendada dé sú escribano del número D. Jacinto Gaona y Loechés,?sé han mandado sacar á subasta por término- de ocho dias, contados desde la fecha de esta publicación, las tierras, viñas y efectos siguientes: una tierra de pan llevar sitá en término, del lugar de Fuencarral al parage que llaman de Valdelobos, de caber fan…</t>
  </si>
  <si>
    <t>…siere hacer alguna mejora acuda ante el Sr. D. Angel Fer nandez de los Rios, del Consejo de S. M., y teniente primero de corregidor de esta muy heroica villa, por la escribanía de D. Jacinto Gaona y Loeches, que se admi tirán las que se hicieren siendo arregladas; en la inteligencia de que para su remate está señalado el día 29 del corriente en la audiencia de S. S., y hora de las 12 jr tnedia en punto. F.1 Sr. D. Manuel Josef Rubio, del Consejo de S. M., tenien…</t>
  </si>
  <si>
    <t>Loeches, Jacinto Gaona' y</t>
  </si>
  <si>
    <t>Jacinto Gaona' y Loeches</t>
  </si>
  <si>
    <t>…or providencia del Sr. D. Angel Fernandez d}e los Ríos , del Consejo de S. M., y teniente primero dé corregidor de esta muy heroica villa , refrendada por su escribario del número D. Jacinto Gaona' y Loeches, se ha mandado sacar 4 pública subasta un.sitio erial en la calle de Hortaleza, núm a , roanz. 332, que tiené 983 pies cua drados superficiales, y tasado en 4059 rs. vn/Qúisn quisiere cojmprarle acuda dentro del término de 30 dias, contados desde 26 del pasad…</t>
  </si>
  <si>
    <t>Loeches, Jacinto Gaonay</t>
  </si>
  <si>
    <t>Jacinto Gaonay Loeches</t>
  </si>
  <si>
    <t>…r los licitadores. Por providencia ¿el Sr. D. Manuel Josef Rubio, del Consejo de S. M., y te niente de corregidor de esta muy heroica villa, refrendada de.su escribano del nu mero D. Jacinto Gaonay Loeches, se ha señalado el domingo,19 de Diciembre pró ximo en su posada, y á la hora de las nueve de su mañana, para la junta general de acreedores de D. Manuel Antonio Solana, vecino de esta corte. En virtud de providencia de los señores del supremo Consejo de Cast…</t>
  </si>
  <si>
    <t>LoewenA</t>
  </si>
  <si>
    <t>…ia de algunas casas de comercio pertenecientes á judíos. - ALEMANIA. ¡ ■■■"" &gt; , ’ . ; ' » ; Francfort j de Setiembre. ' E,l 2 5. de Agosto salió de Stockolnio para ^etersburgo el general LoewenA hielm acompañado del barón de Álbedihn, secretario delegación,. concuna; comisión de grande importancia, según dicen. Idem S. tía llegado á esta ciudad Mr. Canning, y se dice que p&amp;sa á Vierta á tratar con el príncipe Metternich asuntos de .mucha importancia…</t>
  </si>
  <si>
    <t>Loewis</t>
  </si>
  <si>
    <t>…bilo el año xvm del advenimiento del Emperador al trono. Uno de estos dias tuvo la honra de ser presentada á S. M. I. la diputa ción de la nobleza de Ltyon¡a&gt; formada del teniente general Loewis, maris-</t>
  </si>
  <si>
    <t>4^4* cal de la provincia; barón Ungernsternberg, diputado del círculo, y Mr. de Buxhoerden, mariscal de la isla de Oesel. El teniente general Loewis, que llevaba la pa labra, dijo entre otras cosas lo siguiente s „Se nos ha encargado supliquemos á V. M. se digne confirmar la refor ma legislativa, que conforme á los principios de nuestro siglo, ilustrado por los hechos de V. M., mejora la condición de los…</t>
  </si>
  <si>
    <t>Loigorri, Martin García y</t>
  </si>
  <si>
    <t>Martin García y Loigorri</t>
  </si>
  <si>
    <t>…m. 136. D. Evaristo Vi cente Alvarez 120. Núm. 137. D. Rafael de Elorza 100. Núm. 138. Doña Ramona Berenguel 60. Núm. 139. D. P. P. 40. Núm. 140. D. N. 2®. Nú mero 141. El Exorno. Sr. D. Martin García y Loigorri 200. Núm. 142. Fé lix Fernandez, mozo sirviente, de su sueldo, 20. Núm. 143. D. V. y Doña M. 400. Núm. 144- Doña M. V. y M. 100. Núm. 14^. D. Francisco Mu ñoz, cura de Sta. Cruz de Madrid, por limosnas recibidas de sus feligreses, 200. Núm. 146. D. E. M. 100.…</t>
  </si>
  <si>
    <t>Lomi, Angel</t>
  </si>
  <si>
    <t>Angel Lomi</t>
  </si>
  <si>
    <t>…orrespondiente fianza; por lo que se avisa á dichos señores y á todas las personas que tengan noticia de su paradero .para que la den en Madrid en la mayordomía mayor de Palacio á D. Angel Lomi llo, portero de ella* y en Burgos á D. Jacinto Cilleruelo, ó escribiendot en dere chura á D. Anselmo Montero por Burgos Huermeces. En defecto de la existencia de estos son llamados al goce de dichas vinculaciones los hijos y sucesores de D. An tonio Montero R…</t>
  </si>
  <si>
    <t>Longa</t>
  </si>
  <si>
    <t>…dencia como el presente, será confinado á uno de los presidios de-Ceuta: al segundo por la poca detención y examen con que dio su parecer, aconsejando el arresto in comunicado del general Longa, sin haber antes pedido se Uniesen á la causa los antecedentes que pendían sobre el particular, con lo cual se hubieran evi tado tantas consecuencias desagradables como han ocurrido, le separa S. M. de su destino con las dos terceras partes de su sueldo, que…</t>
  </si>
  <si>
    <t>Longa, Francisco de</t>
  </si>
  <si>
    <t>Francisco de Longa</t>
  </si>
  <si>
    <t>…infantería primero de Iberia, se ha servidd S. M. declarar injustas, calumnio sas y falsas las delaciones presentadas por el D. Ventura Oñez de Vergara contra el mariscal de campo D. Francisco de Longa; y por consecuencia que no ha habido justo motivo para la formación de las causas que contra él se instruyen y siguen en la'capitanía general de Castilla la Nueva, en las que se sobreseerá inmediatamente en. el ser- y estado en .que.fe hallen. Decíala asimism…</t>
  </si>
  <si>
    <t>Lontaño, Clemente</t>
  </si>
  <si>
    <t>Clemente Lontaño</t>
  </si>
  <si>
    <t>…s de á caballo y-dnFadtería en númerode 2$ $ y el día 12 del próximo pasado atacaron x GKiílanj entrando sirl oposición • alguna&gt; por haber abandonado aquella ciudad despoblada el coronel D. Clemente Lontaño, retirándose á la hacienda de S. Xavier, distante'ocho^tegiias de Chillan, por no poder opo nerse ácaiisa de ser muy desigual su división; y temiendo1 ser atacados los enemigos por mis fjueraas^y ;lasj de los pndiosji se retiraron conr precipitación' al oprob…</t>
  </si>
  <si>
    <t>Lope, Joaquín Ruiz de</t>
  </si>
  <si>
    <t>Joaquín Ruiz de Lope</t>
  </si>
  <si>
    <t>…misma villa; el de Alhama Lcñ Diego Rodenas en di^ha' ciudad ; el de Caldas de Oviedo D. Cayetano‘Blanco 'Casariego en la villa de Ayrlés, del principado de Asturias; el de Bussot Don Joaquín Ruiz de Lope en la villa de Albatéra; el de Arnedillo D. Francisco Amatriain en Peñaranda de Duero; el de Bejar D- Josef Rodríguez^ en Tastrapa ; el de Quinto D. Manuel Atranz en Zaragoza; el de Ardales ÍX Juaq de .la Monja en Málaga ; el.de. Caldas de Cuntís y de Reyes D…</t>
  </si>
  <si>
    <t>Lope, Manuel</t>
  </si>
  <si>
    <t>Manuel Lope</t>
  </si>
  <si>
    <t>…sar; en Badajoz en la del Dr. D. Jaime Brancos; en Plasencia en la de D. JoseCP io López.Samaniego; en Villanueva de la Serena en la de D. Bernardo Bd^tip’enGranada en 'la del Dr. D. Manuel Lope? Mateos; en Málaga en la del T&gt;r. D., Jaime Alibau;.en Vigo en la del Dr: D. Julián Perez; en Santiago én la de D. Pedro Romero; enójense en la de D. Joaquin Vallverdu; en Betanzos en la, del Dr. D. Rosendo Fariñas;,-en ALcarjtjz en La de D. Ramon Villalba; e…</t>
  </si>
  <si>
    <t>Lopefc'de, Manuel</t>
  </si>
  <si>
    <t>Manuel Lopefc'de</t>
  </si>
  <si>
    <t>…ó' Tórxes^ mwsb sirviente, de su salario,.!o. Núm. 192. Dós hermanos 60.;«Núm; &lt;N.'40. Núm. 194. Doña F.M; 16a. Núm¿ 195* BU;M&gt; A.Xs.aoo.NútíiJ¿9^* ¿D; N.y confesor, 50* Nóm. 197. D. Manuel Lopefc'de la.Peña 200. Numeito 198. D. F. C. B. ioq. Núm. 199; D. M. Fm 20. D M. A. 40. •Núm. 201. Los Sres. gefes y oficiales del r.egi míe n t.o &gt; jjnfan te ría- In fa n té íDon Cárlos , por mano de- su teniente coronel may^tíDíiManueLG Doile/^e 'lo recogido ,en este…</t>
  </si>
  <si>
    <t>Lopeg, Manuel</t>
  </si>
  <si>
    <t>Manuel Lopeg</t>
  </si>
  <si>
    <t>…cia de 12 del mes próximo pasado del Sr. D. Martin de Gastañaga, del Consejo de S. M , su alcaide de Casa y Corte,,refrendada del es cribano de provincia y, comisiones de ía misma D. Manuel Lopeg .de UivasN,.kse iha acordado citar y .emplazar* como |et|ÚLce. por el presénte, á los-que se contemplen interesados en las enunciadas dos mandas,jipará que en el''término .cíe 30 días, con tados desde esta publicación, se presenten ante' éí nominado señor alc…</t>
  </si>
  <si>
    <t>López</t>
  </si>
  <si>
    <t>722</t>
  </si>
  <si>
    <t>…traron en la ciudad ., habiendo sido tan completa lá sorpresa* que M’Gregor solo tuvo tiempo para saltar de la cama, y escapar por una ventana que tenia unos 25 pies de altura. El gobernador López , que dormía en un aposento Inmediato al de M’Gregor, fue muerto en su cama. El coronél Rafter se encerró con al gunos hombres en un fuerte, y allí se defendió por alguri tiempo. Habiendo despachado un hombre , que pasó á nad* ál bergantín adonde se'había ref…</t>
  </si>
  <si>
    <t>López, Ana</t>
  </si>
  <si>
    <t>Ana López</t>
  </si>
  <si>
    <t>…fecta la capellanía; cuya escri tura fue otorgada en la ciudad de Burgos á 2 de Abril de 1699 ante el escribano del número desdicha ciudad Josef Martínez de Vidobro. 20 Hijuela de Doña Ana López de los bienes que quedaron por falleci miento de Gabriel López su padre, formada por el escribano Tomas Nicolás Maganto, que lo fue del número de esta villa de Madrid, su fecha 17 de Ju nio de 1721. 21. Traslado de la escritura de censo que otorghron Francisc…</t>
  </si>
  <si>
    <t>López, Ántonino</t>
  </si>
  <si>
    <t>Ántonino López</t>
  </si>
  <si>
    <t>…el del castillo de Porto-Pe-* tro, en la isla de Mallorca, á D. Joaquín' López, alférez, del .regimiento de caballería de España: el del castillo de .$« Felices de los Gallegos aí capitán Don Ántonino López, ayudante segundo del regimiento de infantería Imperial Ale jandro : la tenencia de Rey de la plaza de Zaragoza al coronel D. Giués Sán chez, comandante de batallón del regimiento, de infantería de Galicia: la sar gentía mayor de la plaza ¡de Gerona á D. Vent…</t>
  </si>
  <si>
    <t>López, Antonio</t>
  </si>
  <si>
    <t>Antonio López</t>
  </si>
  <si>
    <t>…enza Atienza, viuda de D. Juan Bautista Aspiroz, tasada todacllaen la cantidad de 334,273 rs. vn. Quien quisiere hacer postura-acuda ante dicho señor juez y escri banía vacante de D. Antonio López ade Salazarv que se admitirán las que se hicieren siendo arregladas. .0.:.;. Se halla vacante la plaza de cirujano latino de la ciudad de Sto. Domingo de ia Calzada, en la provincia dé la Rioja, dotada en 500 ducados pagados por meses, ademas tiene en el cent…</t>
  </si>
  <si>
    <t>…tiene cálle del Gármeñ, encima ápoderado legal le parará el perjuicio'qué haya lugar cuanto se resuelva. En el Real y supremo Consejó de1 Castilla, por la escribanía de cámara dé Don Antonio López de ¿alazar, se siguen autos por parte de Doña Catalina de Sierra y Ovando, guarda mayor de^Damas*dé;S; M;,*3cóh:IX Melchor de la Guardia y de más Jjerjnanos herederos abintestato d® Jaimfi.de Jla Qu^dia,, sobre, que* la de vuelvan lá dote que llevó su hija Do…</t>
  </si>
  <si>
    <t>López, Cipriano</t>
  </si>
  <si>
    <t>Cipriano López</t>
  </si>
  <si>
    <t>…la de Vallecido; en Avila en casa del sqb.delegado; de la l^eqi jpnía D, Francisco González .Beato; en Alba de Tórnies eñ la de D. Antonio María Bergano; en Burgos en la del Lie. D. Cipriano López ; en Ciudad-Rodrigo en la de D. Julián Ledesma; en León en la de D. Santiago León; en Falencia en la de D. Francisco Polo; en el Burgo deOsma en la de D.Bar tolomé Rui/ ; eñ Segovla en la de D Bernardíno del Pozo; en Salamanca en la dé D; Josef Medina;-en Sig…</t>
  </si>
  <si>
    <t>López, Cristóbal Briz y</t>
  </si>
  <si>
    <t>Cristóbal Briz y López</t>
  </si>
  <si>
    <t>…rarcruz D. Joaquín del .Castillo BustainanteJ’ . Madrid % de Mayé* ARTÍ CU t«r DitOFteiO* - El Rey nuestro Señor se ha servido nombrar en el territorio de las Orde nes militares á D. Cristóbal Briz y López pará la vara de alcaide mayor de k villa de Forcuíia. de tercera dase ó término» ' S. M. 9 i consulta* pérsóharf del Cbnséjoy se ha dignado conceder á la, yiUái de Artlas áel valle de Aráir, en el principado de Cataluña, lá gracia para ce^ ferrar una feria dé…</t>
  </si>
  <si>
    <t>López, Domingo Antonio</t>
  </si>
  <si>
    <t>Domingo Antonio López</t>
  </si>
  <si>
    <t>…ado sin hacerlo se dará á los autos el curso que corresponda y les parará el perjuicio que haya lugar. D. Antonio Curdo ó sus.herederos, en caso de fallecimiento, se presentarán i D. Domingo Antonio López, qiié vive calle de Fuencarral, frente á la casa de Astrarena, tienda de géneros ultramiríndi, qiié tiene que comunicarles noticias sobre al gunos intereses que les corresponden. En el lugar de Yaliecas, jurisdicción de Madrid, y í distancia de una legua, se…</t>
  </si>
  <si>
    <t>López, Félix</t>
  </si>
  <si>
    <t>Félix López</t>
  </si>
  <si>
    <t>…:. Lí.'.- - " *i *',■- ■. , " ' ■ '■ i :u. ‘ .. . 1 ; &lt;Vf Por Real"resolución de 25 de Enero último, á consulta del Consejo su-*.premo de la Guerra, se ha servido S. M. conceder á D. Félix López, practi cante priméro de cirugía que fue en la ultima campaña, y residente eh la ac tualidad en la ciudad de Málaga, el fuero militar y uso de uniforme dé la ela-se en qué sirvió, que le corresponde como comprendido en la Reai orden cir cular de 19 de Junio d…</t>
  </si>
  <si>
    <t>López, Francisco</t>
  </si>
  <si>
    <t>Francisco López</t>
  </si>
  <si>
    <t>…nemigos , y después de una mar cha de nueve leguas los hallé á las cuatro de la noche acampados en el Pepinal, eri donde y sin pérdida de un solo momentoordené al teniente Coróne! D. Francisco López , que sin disparar un tiro cayese sobre el campo enemigo con los 40 dragones y 25 infantes montados , lo que efectuó con tanta rapi dez que apenas dio lugar á la avanzada á que hiciese una descarga; pues tan to ejtá como todos los del grueso principal se vier…</t>
  </si>
  <si>
    <t>López, Hilario</t>
  </si>
  <si>
    <t>Hilario López</t>
  </si>
  <si>
    <t>…te D. Esteban Ra mírez/y la segunda ai'déitéñiente de Tres Villas D. josef Pina, quedán dose la tropa de su cuerpo en las trincheras, que mandába el capitán del ba tallón del,S,ur D. Hilario López, y que se me reuniese la compañía de caba llería de S. Luís y las compañías tercera y quinta del batallón del Sur, las qpe llegadas dispuse que saliesen conmigo, al.mando del teniente D. Mariano Guillen , y los fieles del Potpsí por el centro, por la derecha…</t>
  </si>
  <si>
    <t>López, Jacinto</t>
  </si>
  <si>
    <t>Jacinto López</t>
  </si>
  <si>
    <t>…er misiones á sus feligreses: obra ‘útilísima y aun precisa para todos lós que se dedican á tan alto ministerio, escrita en francés por Mr. Chebassu, y traducida al castellano por D. Jacinto López: cuatro tomos en 4.0 Se hallará en ía librería de Calleja, calle de hs Carretas; en Cádiz en la de Zaragoza; en Granada en la de Aguilar y Gabaldon; en Santiago en la de Rey Romero; en Zaragoza en Ja-de Polo; en Valladolid en la de Rodríguez;.en Lugo en la de…</t>
  </si>
  <si>
    <t>López, Joaquín'</t>
  </si>
  <si>
    <t>Joaquín' López</t>
  </si>
  <si>
    <t>…lo de Moqjuich , de la plaza de Gerona, al capitán D. Gabriel Sedó¿ teniente del regimiento de infantería de. Granada: el del castillo de Porto-Pe-* tro, en la isla de Mallorca, á D. Joaquín' López, alférez, del .regimiento de caballería de España: el del castillo de .$« Felices de los Gallegos aí capitán Don Ántonino López, ayudante segundo del regimiento de infantería Imperial Ale jandro : la tenencia de Rey de la plaza de Zaragoza al coronel D. Giués…</t>
  </si>
  <si>
    <t>López, Josef</t>
  </si>
  <si>
    <t>Josef López</t>
  </si>
  <si>
    <t>i9° ésa.y cumplir por auto del rmismo día, dado portel señor alcalde de corte D. Josef López dei Pan, refrendado del escribano de provincia D. Luis López de Castro, se han mandado sacar nuevamente á pública subasta por seis días mas dos casas unidas, que tienen comunicación, sitas en esta corte y sus calles deNCantaranas y de las Huer tas, djstiiaguí…</t>
  </si>
  <si>
    <t>…rro; y se noticia al público á fin de que el sugeto que quiera hacer postura lo verifique ante mí, que siendo competente le será admitida la postura que diere. Por providencia del Sr. D. Josef López del-Pan, del Consejo de S. M.* alcalde; decano de su Real casa y corte, refrendada del escribano de provincia y comisiones; dp-la nvsma D. Luis López de Castro, se ha mandado citar, llamar y emplazar por último y perentorio término de 30 días, contados desde…</t>
  </si>
  <si>
    <t>López, Josefa</t>
  </si>
  <si>
    <t>Josefa López</t>
  </si>
  <si>
    <t>…Olmo, maestro Real del barrio de:^Comadre , á quien tocó por suerte entre los premiados por la junta él año anterior; y en labores de todo género por Doña María Teresa Ber jano; y Doña Josefa López, maestras con tituló del Real y supremo Con sejo^ Castilla, nombradas por la junta alefbeto.. El público de Madrid sabio é imparcial vio el buen orden y esmero con que. se hicieron estos exámenes, y el acierto con que en lo general contesta ron las niñas; per…</t>
  </si>
  <si>
    <t>López, Juan Bascon y</t>
  </si>
  <si>
    <t>Juan Bascon y López</t>
  </si>
  <si>
    <t>…ltimo no se había internado aun en la ciudad de Marruecos. Por Real resolución de 18 de Febrero último, á consulta del Consejo supremo de la Guerra, se ha servido S. M. conceder a D. Juan Bascon y López, cirujano y vecino de la villa de Utrera, el fuero .militar y uso de Uniforme de practicante segundo de cirugía, que -le corresponde como com prendido en la Real orden ciréular de 19 de Junio de i8if, por haber ser vido en esta clase en la última campaña; dec…</t>
  </si>
  <si>
    <t>López, Luis</t>
  </si>
  <si>
    <t>Luis López</t>
  </si>
  <si>
    <t>cumplir por auto del mismo día, dado por el seno? alcalde de CÓfteD. Josef Lopeáf del Pan, y refrendado del escribano de provincia D. Luis López ;de, Castro, se han. mandado sacar á pública subasta por ocho días mas dos casas unidas que tienen co municación , sitas en esta corte j^susjcalles de 'las Huertas y Cantajrranas K mim. pf manz. 230, que tienen dé sitio 4414 pies, tasadas en 149959 rs., y se…</t>
  </si>
  <si>
    <t>Lopez, Mánuel</t>
  </si>
  <si>
    <t>Mánuel Lopez</t>
  </si>
  <si>
    <t>…róximo! 'mandada guardar y cumplir en el siguiente 26 por el señor alcalde de Casa y Corle D. Martin de Gaztañaga, por ante el escribano de provincia y comisiones dé la mis? •rita D. Mánuel Lopez dé Ribas, se ha mandado publicar por diez dias mas la subasta •de la casa propia de la testamentaría de D. Juan Bautista Lluc, sita en la calle Reai del Avapies, núm. 22, manzana44, que sé halla sin concluir, y tiene de sitio 2103 pies de superficie; retasada…</t>
  </si>
  <si>
    <t>López, Manuel</t>
  </si>
  <si>
    <t>Manuel López</t>
  </si>
  <si>
    <t>…-su tá¿ sación, libre de toda carga y gravamen: el que quiera hacer ‘postura á las ciernas, d mejora en las rematadas, acuda ante dicho señor alcalde y escribanía de provincia de D. Manuel López de^Rivas; en el supuesto de que está señalado para su nuevo re mate el día 17 del corriente á las doce en punto en la audiencia del mismo señor alr calde y citada escribanía de provincia. ; : Conducta de confesores/ por el P„ Anselmo Petíte: dos tomos en 4° e…</t>
  </si>
  <si>
    <t>…de Pazos: para la canongía penitenciaria de la iglesia catedral de Sta. Marta á D. Francisco Timoteo de Ribera; y para la canongía doctoral de la Sta. iglesia de Comayagua al Dr. D. Manuel López de la Plata. ^ Asimismo se ha dignado nombrar para la regencia de la Real audiencia de Quito, vacante por jubilación de D. Francisco Xavier Esterripa, á D. Fran cisco Xavier Manzanos: para la plaza de alcalde del‘Crimen de la Real au diencia de Lima » vacante…</t>
  </si>
  <si>
    <t>…Estado* En virtud de providencia de. 4 del corriente mes del señor alcalde de Casa jr Córte D* Martin de Gaztanága r refrendada del escribano de provincia y comisiones de la misma D. Manuel López» de R ivas r se ha acordado-se celebre junta de todos los interesados y acreedores á la testamentaría drMaríá Dana r vecina que fue de Carabanchel de abajo, señalando para ella el dia i.° de Junio próximo á las nuevede la mañana en la posada de S. S.; y á fin…</t>
  </si>
  <si>
    <t>…orte, y en virtud de providencia del Sr. D. Martin'de Gáztañaga, del Consejo de S. M,, su al calde de Casa y Corte, autorizada del escribano de provincia y comisiones de la mis ma D. Manuel López deRivas, sé ha acordado convocar á junta general de los acree«dggp. é interesados' en lamisma testamentaría, señalando para ella el dia'27 delcorraMte, á las nueve en punto de la mañana, en la posada de S. S. Lo que se avisa por TOte periódico, para que llegu…</t>
  </si>
  <si>
    <t>…rovincia. En virtud de providencia del Sr. D. Martin de Gaztañaga, del Consejo de S. M,# su alcalde de Casa y Corte, autorizada del escribano de provincia y comisiones dé la misma D. Manuel López de !JUvas, ásolicitud.de los Interesados, se ha mandado volverla publicar, por ocho dias mas cuatro casas_sitas en esta corte, la primera en la, calle de los Tintes á los caños del Peral, señalada con el nám. 17, manz. 416., que tiene de sitio 1002 pies super…</t>
  </si>
  <si>
    <t>…corte , y en virtud de providencia del Sr. D. Martin dé Gaztañaga, del Consejo de S, M., su alcalde dé Casa y Corte, refrendada del escribano de provincia y comisiones de la misma Don Manuel López deRivas, se han mandacfó sacar á publica subasta, por término dé 15 dias, contados desde 30.de Octubre próximo pasado, tres casas sitas en esta mis ma corte y sus calles de Santiago el Verde y del Sol, núms. 9, 10 y ir, manz. 76, las que s§ hallan unidas ó ma…</t>
  </si>
  <si>
    <t>López, Nicolás</t>
  </si>
  <si>
    <t>Nicolás López</t>
  </si>
  <si>
    <t>…o nel D. Juan Tolrrá, que por cubrir el servicio de: aquel dia se halló en van guardia, y sostuvo lo. mas fuerte de la acción; al teniente coronel, comandante del primero del Rey, D. Nicolás López, que Fue fuertemente contuso ; al gefe del estado mayor teniente coronel D. Sebastian Díaz; los capitanes del ba tallón del Rey D. Vicente Gallardo y D. Joaquín dél Campo , de las com pañías de granaderos y cazadores; ai teniente de esta graduado de capitán D…</t>
  </si>
  <si>
    <t>López, Tomas</t>
  </si>
  <si>
    <t>Tomas López</t>
  </si>
  <si>
    <t>…or otra del mismo dia se ha servido conceder el fuero militar y usó de uniforme de médicos de número de egército á D. Josef Valero, médico titular de la villa de la Membrilía, y á D. Tomas López, médico de la de Uclés, por las mismas razones que el primero ; declarando al mismo tiempo le ha sido muy grata á S. M. la cesión que respectivamente han hecho de la pensión anual que debían disfrutar con arreglo á la Real orden circular de U9 de Junio de 181…</t>
  </si>
  <si>
    <t>…difuntos, natural de Ciudad Real, donde sentó plaza de sol dado; y á fin de enterarle sobre un asunto que le interesa se suplica al que tuviese algun^ noticia de él la comunique á D. Tomas López, presbítero de esta corte, que vive calle de Tudescos , núni. 24 , cuarto 2.0 Paseo por el gabinete de Historia natural de Madrid, ó descripción sucinta y divertida de los principales objetos de zoologia que ofrecen las salas de esta intere sante colección, p…</t>
  </si>
  <si>
    <t>López, Vicente</t>
  </si>
  <si>
    <t>Vicente López</t>
  </si>
  <si>
    <t>…de S. M., y académico de mérito; y otros dos, uno de la difunta Reina Doña Marj a Isabel de Br aganza, y otro del Sermo. Sr. In fante D. Carlos Luis por el primer pintor de Cámara D. Vicente López. En otra de las salas había expuestas dos pinturas que en punto menor representa ban la resurrección y la coronación de espinas de nuestro Señor Jesucristo hechas por D. Juan Antonio Ribera, pensionado de la academia, que acaba de venir de Roma. En el gabinet…</t>
  </si>
  <si>
    <t>Lorente, Higinio Antonio</t>
  </si>
  <si>
    <t>Higinio Antonio Lorente</t>
  </si>
  <si>
    <t>…latina, del arte de partear, y de enfermedades de inugeres y niños; miembro de muchas sociedades de París, correspondiente de la de emulación de Lieja &amp;c. &amp;c. Traducido por el Dr, D. Higinio Antonio Lorente, médico honorario de cámara de S. M., individuo supernumerario de la Real junta superior gubernativa de medicina, catedrático jubilado de química &amp;c. &amp;c. Este tratado es una continuación del de las enfermedades de mugeres, y del curso teórico y práctico de pa…</t>
  </si>
  <si>
    <t>Lorenzana, Cardenal de</t>
  </si>
  <si>
    <t>Cardenal de Lorenzana</t>
  </si>
  <si>
    <t>…ina y de su profunda erudición, y asi son muchas las edicíoones latinas que de ella se han hecho en casi todos los países de Europa. Modername-nite d. Eminentísimo y Excelentísimo Sr. Cardenal de Lorenzana, bien informado por sí; inisnu) de los útiles efectos que producía su lectura, promovió la edición, que con el umayor esmero y cui dado se dió á luz en la imprenta Real año de 1788, y por este m tedio facilitó á mu chos esta obra preciosa. Sin embargo, como l…</t>
  </si>
  <si>
    <t>Lorenzo</t>
  </si>
  <si>
    <t>…s de campaña durante la última guerra. ; &lt; Por otra de 5 del presente mes se ha servido S. M. conceder el fuero mi litar y uso de uniforme de practicantes de cirugía de egército á D. Lorenzo &gt;Cano Beltran, cirujano titular de la ciudad de Calatayud, y á D. pomi ngo Ramón García, vecino del lugar de Celtegos, en la provincia de Lugo. Por otra de&lt;6 dél mismo se ha servido conceder igual gracia á D. Vicente Tomas, vecinoxie la ciudad de Tarragona: á…</t>
  </si>
  <si>
    <t>Lorenzo, Manuel</t>
  </si>
  <si>
    <t>Manuel Lorenzo</t>
  </si>
  <si>
    <t>…comandante general de la cuarta división, con fecha de 18 del mes próximo pasado me dice lo que sigue: Excmo. Sr.: El ayudante mayor del batallón de infantería ligera de Clarines D. Manuel Lorenzo, desde Rio Carives en 14 del mismo mes me dice lo que copio: Por mi oficio número 38 in formaba á V. S , á consecuencia del parte verbal que recibí en Puerto Santo estando en marcha para Rio Carives, de la acción de ayer sobre este pueblo; y visto y tocado lo…</t>
  </si>
  <si>
    <t>…ar y tierra con todas sus fuerzas, mardé aumentar y reforzar las fuer zas sutiles con que nos hallábamos; despaché un propio al activo y zeloso co mandante del distrito de Campano D. Manuel Lorenzo para que me reuniese toda la fuerza que anticipadamente había mandado organizar del paisanage, y que con toda la que pudiese ser, dejando cubierto el punto de Carupano por si Bermudez intentaba dirigirse por aquella parte, se viniese á Casanay para impedir qu…</t>
  </si>
  <si>
    <t>Lorfelin, María Verge y</t>
  </si>
  <si>
    <t>María Verge y Lorfelin</t>
  </si>
  <si>
    <t>…S. M., teniente primero de corre gidor de esta muy heroica villa, ante el escribano de su número D. Francisco Alcazar, para la citación y emplazamiento por el término de la ley á Doña María Verge y Lorfelin, vecina que se dice ser de esta corte, á fin de que comparezca por sí o _por medio de procurador en el tribunal del referido alcalde mayor á exponer y pedir Jo que la convenga en los autos que en él promueve Juan Izquierdo y Cristina Bene dicto, consortes, co…</t>
  </si>
  <si>
    <t>Losa, Genaro Rivas y</t>
  </si>
  <si>
    <t>Genaro Rivas y Losa</t>
  </si>
  <si>
    <t>…ide mia, con 30 rs. mensuales. Núm. 38. Doña C. F , por ídem, con 2 rs. dia rios, Núm. 39. D. Josef Liona y su consorte Doña Josefa Liona, por ídem, con 30 rs. mensuales. Núm. 40. D. Genaro Rivas y Losa, por iduu, con a reales diarios. 1 -</t>
  </si>
  <si>
    <t>Losada, Ftáncisco Javier Montero y</t>
  </si>
  <si>
    <t>Ftáncisco Javier Montero y Losada</t>
  </si>
  <si>
    <t>…s se ha sérvidóí el Rey nuestro Señor nombrar á D. Antonio de la Sierra Arce y Lamas para h varia dé aícáldé máyór de la villa de Segtír'a de Leon:, vacante por fallecí— miéntd de D. Ftáncisco Javier Montero y Losada; y para la de la yjíia dé Villafranca de los Barrbs,' &lt;^ue ló está porél de D. Isidro Mácía de Lleopact, á D. Cayetano Benedicto. A., w - A su.</t>
  </si>
  <si>
    <t>Losada, María</t>
  </si>
  <si>
    <t>María Losada</t>
  </si>
  <si>
    <t>…ante dicho señor y citada escribanía , que .¿e admitirán las que se hicieren siendo ar regladas. • . :r # Habiendo fallecido abintestató en Junio de 1817 eñ el Real sitio de Aran juez María Losada, rmiger de Manuel Herencia, se radicaron los autos corres pondien tea e« el juzgado de I\ josef Tagie Bustamante, asesor, teniente gobernador deí misino, escribanía de D. Josef Arenas Montealegrc, en los cuales, por no aparecer here deros conocidos de aquella…</t>
  </si>
  <si>
    <t>Losada, Vicente López</t>
  </si>
  <si>
    <t>Vicente López Losada</t>
  </si>
  <si>
    <t>…isertó sobre ,,si en la enfermedad conocida con el nombre de angina se distinguen con precisión las especies laríngea, traqueal, membranácea ó croup, y el catarro sofocati— vo”, y D. Vicente López Losada , que leyó sobre ,, la confianza qúé mere cen en la curación de la parálisis el rhus toxicotendrón y la nuez vómica”; desempeñaron con alguna mayor ventaja que sus compañeros los objetos que se les señalaron para materia de sus memorias. En esta atención han…</t>
  </si>
  <si>
    <t>Loyo-k, Antonia</t>
  </si>
  <si>
    <t>Antonia Loyo-k</t>
  </si>
  <si>
    <t>…s que se han presentado hasta aquí para su completa plantificación. ?E1deseado desagüeles ya; ;muy notable en lamina de D. Ma nuel de Ijurra^nombra^a (del Rey; «u la de Dolores de Doña Antonia Loyo-k|</t>
  </si>
  <si>
    <t>Lozano, Anta-nía Elíafe</t>
  </si>
  <si>
    <t>Anta-nía Elíafe Lozano</t>
  </si>
  <si>
    <t>…uero; á D. Ramón García, ciruja no titular- de: da villa de Robladura, en Castilla la Vieja; á D. Juan Luis,, cirujano titular de; la villa de Infiesto, provincia de Asturias, y á D. Anta-nía Elíafe Lozano /cirtijant&gt; de la villa'de los Santos de la Humosa. Por otra de igüal fecha sé ha servido Si. M. conceder el fuero militar y eso de uniforme de practicantes dé farmacia de egército al Lie. D. Blas Garpía, residente 'en la ciudad d'e Astorga; á D. Segundo Mont…</t>
  </si>
  <si>
    <t>Lozano, Francisca Xavíera</t>
  </si>
  <si>
    <t>Francisca Xavíera Lozano</t>
  </si>
  <si>
    <t>…o de viña, y de 50 á 60 fanegas de tierra inculta que le corresponden por vertientes y ensanches, linde por oriente con D. Cristóbal Mergelina y D. Josef Ibañez ; por poniente con Doña Francisca Xavíera Lozano , viu da de D. Pedro Pablo Avellano Lozano y Montes; por mediodíasD. Diego Fer nandez Tomas, herederos de Juan Ximenez Lozano, y camino de Yecla para To baría en medio, y por el norte los mónteselas tenajas y toneles existentes en la mis ma .labor para cocer…</t>
  </si>
  <si>
    <t>Lozano, Juan</t>
  </si>
  <si>
    <t>Juan Lozano</t>
  </si>
  <si>
    <t>…uso y aprobación general mas sincera! y expresiva. .. :o , i » ni • iil A R T ICÜLO D B OFICIO. ' ' Cifculardel Cónséjo Real. : (1 '■■A - ; :n¡ V! • , . J , y -y - ■ El Excmo; Srv D. Juan Lozano, de Torres , Secretario de Estado y del Despacho de Gracia y Justicia , dirigió al Excpio. Sr. duque del Infantado, presidente del Consejo, con fecha 30 de Marzo último la Real orden siguiente: ,, Excmo. Sr.: Deseoso el Rey nuestro Señor de proporcionar á; la…</t>
  </si>
  <si>
    <t>Lozano, Pablo</t>
  </si>
  <si>
    <t>Pablo Lozano</t>
  </si>
  <si>
    <t>…go Ortiz, D. Josef Murien, D. Juan Gutiérrez, D. León Coro y D. Josef Bermudez?. á quienes por orden se abrió á la suerte cada uno de los tres tomos de la co lección de autores de D. Pablo Lozano, donde por largo espacio hicieron una libre versión á nuestro idioma con tanta destreza, que dejaron satisfechos á los Sres. examinadores y á los demas concurrentes. Después pasaron á hacer el análisis etimológico, ortográfico, sintáctico y prosódico en lengu…</t>
  </si>
  <si>
    <t>Lqpez, Manuel</t>
  </si>
  <si>
    <t>Manuel Lqpez</t>
  </si>
  <si>
    <t>…, , / En virtud deprovidenciádel Sr. D. Martin de Gaztaíjigga, del Consejo de S. M. ' su alcalde dé Casa, y, Corte* autorizada del escribano de provincia y comisiones de Jé misma,D. Manuel Lqpez .de}&gt; Ribas, á solicitud de los interesados, se venden á pública subasta 4 casas sitas cu esta corte. La primera en la calle de los Tintes á los (japos del Peral , señalada con él núm. 17, manz. 41 ó, que tiene de sitio K02 pies superficiales, tasada en 46$ r…</t>
  </si>
  <si>
    <t>Luarca, Rafael Tomas Menendez de</t>
  </si>
  <si>
    <t>Rafael Tomas Menendez de Luarca</t>
  </si>
  <si>
    <t>…acuerdos que tratan del particular. : . ; ' ' - - • • ;' ; • -• U: - " "T En la noche debí 9 al 20 de Jünioúe este año falleció á la edad de* 75 años ^ medio él Excmo. é limó. $r« D. Rafael Tomas Menendez de Luarca, obispó de Santander , en el lugar de la Penilia, valle de Cayon, donde se hallaba pfac-r ticaudo.la santa visita.. Celebró el 19 el santo sacrificio, confesándose antes co mo lo tenia de costumbre , y confirmó aquella mañana alegre y contento á los niños de…</t>
  </si>
  <si>
    <t>Lubian, Josef María</t>
  </si>
  <si>
    <t>Josef María Lubian</t>
  </si>
  <si>
    <t>del presente ha dado al teniente coronel D. Josef María Lubian el teniente de realistas D. Blas Azcarate. ,,Es contraído á ia acción en que derrotó y puso en fuga á una gavilla numerosa de bandidos, procedente de Cuyuxquíhuy, que trató de sorpren derle, y sufrió en castigo de su maldad la pérdida efectiva que manifiesta…</t>
  </si>
  <si>
    <t>Lucas.Alemán-</t>
  </si>
  <si>
    <t>…orismos de Hipócrates, traducidos, ilustrados y puestos en verso castellano por el Dr. D. Manuel Casal, profesor de. medicina en esta corte,, ¿ individuo de su Real colegio, alias D. Lucas.Alemán-, y Aguado: -obra tan xítil a.los jóvenes clínicos y amantes de la medicina, ¿ornó necesaria i los cirujanos romancistas que egercen en poblaciones dóndledaíecen cíe médico: un tomo qn 8.° Se hallara én las librerías de Mqñiterbcálléde lá ^íaácepcióh Gerónlma,…</t>
  </si>
  <si>
    <t>Luciano</t>
  </si>
  <si>
    <t>…t ignorañélaf- . r/ V . ,Vt'~ ,/ P.or providenciádel Sr. D. Manuel JÓsefRublo?, defConséjocf^S,M/,úchíénté efe corregidor de esta muy heroica villa * se cita ^ llima'y émjplayá‘ á;D. Luciano de á fin de qrie personalmente Ó por niédio-de próenfadór',-Con 'pbdeír js’úficí'éhte, -deáÚra úel térmioo de. g.o. dias, comparezca ante el escribano del h¿mero'jD. "Pomas de oancha y .Prado" ,a decir y exponer lo qué &amp;' su'.derecho convénga éii el juicio pr…</t>
  </si>
  <si>
    <t>Lui, María</t>
  </si>
  <si>
    <t>María Lui</t>
  </si>
  <si>
    <t>…ñor el día 22 del mes pasado para que se hiciesen solemnes exequias en la iglesia de S. Francisco el Grande de esta cor te en sufragio de su augusta Madre la' Reina nuestra Señora Doña María Lui sa de Borbon, en los mismos términos que las que anteriormente se habían celebrado por su augusta Esposa, se dio principio á ellas en la tarde del 21, en la que se cantaron con la mayor solemnidad las vísperas de difuntos. En la mañana del siguiente aia celeb…</t>
  </si>
  <si>
    <t>Luis</t>
  </si>
  <si>
    <t>…, y miembro de la Cámara de los diputados, para guarda-sellos; al barón Portal, individuo de la Cá mara de los diputados, y consejero de Estado, para el ministerio de Marinay y al barón Luis,” miembro de la Cámara de los diputados, para el ministerio de Hacienday. queda suprimido el ministerio general de Policía. La gaceta de Amsterdam del 23- de este mes dice que el dia antes hubo en aquella capital una niebla muy densa ? que se levantó á las ci…</t>
  </si>
  <si>
    <t>…tos de curiosidad que ofrece esta capital. . «, Jdem //. . Sesión de la Cámara de los Diputados el dia iS, A las tres y media de la tarde se hizo pública. la sesión, y entgiron el barón Luis, ministro de Hacienda, y los Sres. Beranger, Cuyier , Capelle, de Barante, Guizot y Allent, quienes tomaron asiento en el banco de ios mi nistros. Después de leída el acta tomó la palabra el barón Luis, y manifestó que iba á presentar un proyecto dejey relati…</t>
  </si>
  <si>
    <t>377</t>
  </si>
  <si>
    <t>…a de los fondos de patrimonio extraordinario, y las sumas depositadas por este, respecto desde 25 de Mayo hasta 31 de Di ciembre de 1818 ascienden-á 2.2oo© francos. En .seguida el barón Luis , ministro de Hacienda , habló en. estos términos; „Señores : después de haber manifestado la necesidad que tiene el Estado de 889.210© francos para el año de 1819 , hemos, indicado que era fácil com pletar esta ¡suma sin aumentar en nada los Impuestos-existe…</t>
  </si>
  <si>
    <t>…illa, D. Juan Meáha y D. Francisco Bragne. En la cuarta y última D. Federico Rodríguez Campo, D. Josef Maurelles, P. Sebastian Ximenez, D. Josef Alvarez, D. Bernardíno Marru^mñ .y D. Luis" Alvarez. ... . Sanhícar d^ Bárrame da 24 de Mayo, En Diciemjbre.del año últiipo" se, celebraron en esta ciudad exámenes pú blicos de primeras letras, bajo la dirección del maestro D. Francisco Ren den. Presidió el acto el mariscal de campo D. Carlos D’aunoy,…</t>
  </si>
  <si>
    <t>…adrid j j de Noviembre, . . , - , A nombre de las merindádes de Castilla la Vieja se presentaron &amp; S. M. la Reina nuestra Señora en la ciudad de Burgos el corregidor de las mismas D. Luis. Antonio del Campo y el Lie. D. Tomas de Perea; y el primero dijo el discurso siguiente: 1 * ■ Señora t ■ • 1' ,, Vuestro corregidor délas merindádes de Castilla' la Vieja, y el Líe. Dóh Tomas de Pereda, diputado por el ayuntamiento general de las mismas, tie…</t>
  </si>
  <si>
    <t>Luis, Carlos</t>
  </si>
  <si>
    <t>Carlos Luis</t>
  </si>
  <si>
    <t>…Francisco Lacoma, pintor honorario de Cámara de S. M., y académico de mérito; y otros dos, uno de la difunta Reina Doña Marj a Isabel de Br aganza, y otro del Sermo. Sr. In fante D. Carlos Luis por el primer pintor de Cámara D. Vicente López. En otra de las salas había expuestas dos pinturas que en punto menor representa ban la resurrección y la coronación de espinas de nuestro Señor Jesucristo hechas por D. Juan Antonio Ribera, pensionado de la aca…</t>
  </si>
  <si>
    <t>Luis, Juan</t>
  </si>
  <si>
    <t>Juan Luis</t>
  </si>
  <si>
    <t>…udad de Barcelona; »á D- Manuel Paul, ciru jano titular de la villa.de Peñaranda de Duero; á D. Ramón García, ciruja no titular- de: da villa de Robladura, en Castilla la Vieja; á D. Juan Luis,, cirujano titular de; la villa de Infiesto, provincia de Asturias, y á D. Anta-nía Elíafe Lozano /cirtijant&gt; de la villa'de los Santos de la Humosa. Por otra de igüal fecha sé ha servido Si. M. conceder el fuero militar y eso de uniforme de practicantes dé f…</t>
  </si>
  <si>
    <t>Luis.Quiritanar</t>
  </si>
  <si>
    <t>…os años. Campo de Tlachichilco Marzo 8 de 3 818. = Excmo. Sr. = Josef de la Cruz. = Excmo. Sr. virey D,, Juan Ruiz dé Apodaca.” -• ; ; ' ;(!' :: .v-,. -.:1’ ... .Parte del coronel:D. Luis.Quiritanar. „ Excmo. Sr.: Salí el dia i.0 deApatzingan trayendo cqnrnígQ.al prisionero Dr. San Martín. En el mismo llegué ¿á^Tancítaro , donde tenia ánimo de de tenerme tres dias, para hacer varias partidas cop. la tropa que yo traía y la que tiene en dicho, pueblo por…</t>
  </si>
  <si>
    <t>Luisa</t>
  </si>
  <si>
    <t>…arina. = Sr. brigadier y comandante general D. Ci~ ' riaco&gt;de I$lanó.” ( -- - .;-U) M í- ^ A - ' : - 'Quintarédr de lá Órdénty 'de:)Juniúl -- 1 :i 1 -- ' 11 La Serma. Sra. Infanta Doña Luisa (parlota fue recibida á.la entrada de este pueblo por el ayurítamíéhtoycíéfa; pefsbñás de'distiñcvon 'jr gran con cursó dé vecinos, . haciendo éntre yantó los honores‘militares á S. A. lá partida del regimiento de Gétoná que ocupa éste distritbfLá carrera por…</t>
  </si>
  <si>
    <t>Luisa'Carlota</t>
  </si>
  <si>
    <t>539</t>
  </si>
  <si>
    <t>…spañoles. Barcelona 18 de Mayo de i 819. = Serma. Sra.=AL.R. P. de V. A. R. = Xavier de Castaños.” ! . ^ ^ , Contestaciónc ,,Excmo. Sr.: ¡Sensible siempre ía Serma. Sra. * Infanta Doña Luisa'Carlota, mí: augusta aiha^ íá: la (diilce.emoción que proporciona el contribuir y tomar.parteí deralguna*manera lén-ía prosperidad nacional, ¡y en la mayor felicidad de un pueblo del que acaba de recibir tantas demostracio nes de afecto, no ha podido dejar de ver con…</t>
  </si>
  <si>
    <t>Luisa, María</t>
  </si>
  <si>
    <t>María Luisa</t>
  </si>
  <si>
    <t>…eciese haber enfermada'gravemente el orador á quien estaba encargada la oración fúnebre,y ocurriese en este intermedio ei falleci miento de SS, MM. el Sr. D. Cárlos iv y su Esposa Doña María Luisa , se determinó hacer las tres funciones de honras en~ los diás 18, 19 y 20 del cor riente por el orden del fallecimiento de dichas Personas Reates. Al intento se formó un magnífico y suntuoso túmulo de cuatro cuerpos, adornado.con lo» correspondientes atribut…</t>
  </si>
  <si>
    <t>…de Inquisición de corte, y del Consejo de las Ordenes militares, para usar de la llave de gen tilhombre de Cámara conr que S. M. la Serma. Sra. Duquesa de Lúea In fanta de España Doña María Luisa se ha dignado agraciarle. Por Réal resolución de ir de Junio último , á consulta del Consejó Su premo de la Guerra, se ha servido S. M. conceder á D. Gabriel Muñoz, ve cino de la villa de la Solana, provincia déla Mancha, el fuero militar y uso de uniforme de…</t>
  </si>
  <si>
    <t>…otenciario cerca de la Santa Sede, se procedió al embarque de los Reales ca dáveres, en el puerto de Ñapóles el de S. M. el Rey D. Carlos iv, y en el de Gaera el de S. M. la Reina Doña María Luisa, á bordo de la fragata sici liana ia Sirena y del mando del capitán de navio D. JOan Bautista Bálsamo; quien en ella los condujo al puerto de Alicante, donde desembarcados en 25, del mes de Agosto próximo pasado fueron recibidos por el Excmo. Sr. Dqá Ramón de…</t>
  </si>
  <si>
    <t>…on un riquísimo paño de seda y oro, y el otro con uno de igual clase, y plata. En el primero fue colocado el féretro del Sr. Rey Dóh Garios iv, y en el segundo «1 de la Sra. Reina Doña María Luisa, y sobré uno y otro s^ pusieron los correspondientes almohadones con las coronas Rea les, Ambos, túmulos estaban rodeados de ricas alfombras? al frente, entreestoar y el altar mayor, ardían nueve hachas de cera amarilla en el candelabro impe rial ; á cada uno…</t>
  </si>
  <si>
    <t>ii 14 „Por decreto de 21 de Abril del a ñq pasado de 1792 se dignó mi augusto Tío y Padre el Sr. D. Carlos iv, que está en gloria,' autorizar á su muy cara y amada Esposa la Sra. Doña María Luisa para que arreglase los estatuios de la Real orden de Damas Nobles * instituida bajo su augusto nom bre, y nombrase las dama1' que habían de componerla* á fin de que S. M. pudiera manifestar su benevolencia á las personas nobles de su sexo, que por, sus servic…</t>
  </si>
  <si>
    <t>Luisa, María Isabel</t>
  </si>
  <si>
    <t>María Isabel Luisa</t>
  </si>
  <si>
    <t>…de la Reina nuestra Señora Doña María Isabel de Braganza , que esta en gloria; y en el si guiente año de 1817 obtuvo de S. M. el nombramiento de aya de la Sere nísima Sra. Infanta Doña María Isabel Luisa, hija primera de SS. MM., cu yos destinos en todos sus ramos desempeñó á su satisfacción, mereciendo en todo su particular , distinguido y Real aprecio. Guando ocurrió la funesta y nunca bien sentida muerte de nuestra augusta Reina Doña María Isabel, acreditó…</t>
  </si>
  <si>
    <t>Lumiares</t>
  </si>
  <si>
    <t>…ún Tito Livio, se puede ve nir en conocimiento de su remota antigüedad. La fórmula Ave et Vale no se lee en ninguna de las inscripciones de Cartago nova, que recogió el Excmo. Sr. conde Lumiares , é imprimió en Madrid año de 1796, Ayer al anochecer dio fondo una embarcación otomana procedente de Gibraítar efi la ensenada de Escombreras, junto á la embocadura de este puerto; y habiéndose negado á entregar la patente de sanidad para entrar en el puerto…</t>
  </si>
  <si>
    <t>Luna, Erancaseo de Paula</t>
  </si>
  <si>
    <t>Erancaseo de Paula Luna</t>
  </si>
  <si>
    <t>…«••Mi**1* • En el Éerr&lt;d. ^ • t; ••• *4 • 1000 Idem A RTlCUlLO DI OFimO. ¡5*. M, se ha servido exf¿dir el Real decreto siguiente* S’ M* ,, En atención á Jos méritos y servidos de D. Erancaseo de Paula Luna he-venido sen ¡nombrarle secretario interino del Consejo de Estad o, con pp-. cipn , honores y prerogatlvas de propietario. Tendreislo entendido, -y dis pondréis lo necesario para su cumplimiento. rrRubricado de la Real mano de Manuel González Salmón:” S.M. «…</t>
  </si>
  <si>
    <t>Luna, Gonzalo</t>
  </si>
  <si>
    <t>Gonzalo Luna</t>
  </si>
  <si>
    <t>…culo'de París, leí das en la junta principal de contribución, repartimiento y estadística de la provinciade Valíadolid en 1-2 de Diciembre del mismo por su vocal estadista el Lie, Don Gonzalo Luna. Se manifiesta eif estas observaciones el error y la falsa idea con que hasta el dia se ha concebido y entendido por los economistas políticos y por las na ciones la impropiamente llamada economía política: se presenta en el verdadero punto de vista bajo que…</t>
  </si>
  <si>
    <t>Luna, Gonzalo de</t>
  </si>
  <si>
    <t>Gonzalo de Luna</t>
  </si>
  <si>
    <t>…ctos y errores mas clásicos y notables con que hasta ahora se ha entendido y ex plicado la economía políticaj y se presenta un nuevo y general sistema de esta cien cia por el Lie. D. Gonzalo de Luna. Se hallará en las librerías de Dávila, calle de' las Carretas, y de Paz frente á las gradas de S. Felipe el Real. Nebrija redivivo. Arte elemental filosófico de las lenguas latina y española, idea do por el sistema de aquel, y simplificado conforme al gusto…</t>
  </si>
  <si>
    <t>Luna, Mariano</t>
  </si>
  <si>
    <t>Mariano Luna</t>
  </si>
  <si>
    <t>…Tapia y'Velarde para la plaza de te niente asesor dél gobierno é intendencia del Cuzco, vacante por promoción de D* Pedro López de Segovia á ministro de la audiencia de México, á Don Mariano Luna; y para la plaza deteniente letrado asesor ordinario de la in tendencia de- GiianajOato, á D.: Cayetano;Muñiz.• ¡ i j Asimismo se ha dignado nombrar á D- Aniceto Ibañez de Ocerin, oficia! quinto* de la íSeeretaríade Es.tadd&gt;(y ¡del Despaeho'de Gracia ry Justi…</t>
  </si>
  <si>
    <t>Luternau</t>
  </si>
  <si>
    <t>…e Berna bé publicó una proclama en que se ofrece partido á los habitantes: según ella los que se determinasen á a eptarle deberían estar el 8 de este ¿ríes en Basilea. El teniente coronel Luternau y el mayor Sinner, que Van*’tafnbien1^'establecerse en el Brasil, son los comisarios nombradas, y lósqúe deben mirar por los intereses de los cdlonos hasta Holanda , dónde lían de quedar bajó la' dirección de Mr. Gachet.. Estos nuevos colonos parece que Jlega…</t>
  </si>
  <si>
    <t>…abrió solemnemente fen Thoune la escuela mi li tar central, Pronunció un discurso alusivo á las circunstancias el inspector ge neral del cuerpo de artillería de la Confederación, coronel Luternau, que ha hecho servicios muy importántes á su patria, yónas en particular al arma de !que és gefé, y después dió á reconocer á la tropa por director: de la escuela ai coronel Goedlin, y á otros varios oficiales como encargados de diferentes partes dé la enseña…</t>
  </si>
  <si>
    <t>Luvian</t>
  </si>
  <si>
    <t>…ente-si los.puntos militares inmediatos á aquel abrigadero de malvados se aprovechan para su exterminio del escarmiento y timidez en que techan puesto las Operaciones dél teniente coronel Luvian. ‘ Situado éste gefe en el destacamento de Paíogordo, y obstruidos por te comandantes de Pápántla y el Espinal los recursos de relaciones y subsis tencia con que los han auxiliado Victoria y Vergara, ó se han de ver precíe sados á implorar la Real gracia del…</t>
  </si>
  <si>
    <t>Luvian, Alejandro</t>
  </si>
  <si>
    <t>Alejandro Luvian</t>
  </si>
  <si>
    <t>…que íes quedaba, de donde fueron desalojados y confundidos horrorosamente. „ El 15 me fue preciso ocurrir á este campo por saber, según las contra señas que con el cañón me dio el capitán D. Alejandro Luvian, que los re beldes habían obstruido el camino- para impedirme toda comunicación , cuya obra desdé el primer dta.de mi entrada á aquel campo emprendió la canalla, construyendo nuevos parapetos por mis flancos y frente; pero todo se venció hasta el extremo de r…</t>
  </si>
  <si>
    <t>Luvian, Josef María</t>
  </si>
  <si>
    <t>Josef María Luvian</t>
  </si>
  <si>
    <t>…las que he tenido el honor de ser 1111 egecutor. ,, Según los informes que he tenido , los .infames que encierra el Cuyusquihui han sido escarmentados por la división del teniente coronel D. Josef María Luvian, que V. S. ha destinado para 1¡^ persecución de aquella canalla. El Señor de los egércitos siga dispensándole á V, S. el acierto que hasta aquí para tener la satisfacción de ver lograda la pacificación de Barlovento. ,, Dios guarde á V. S. muchos anos. Ixhuat…</t>
  </si>
  <si>
    <t>…de á V- E. muchos años. Lagos Mayo 19 de 1818. = Excmo. Sr. = Hermenegildo Revuelta. Excmo. Sr. mariscal de campo D. Josef de la Cruz.’* Idem i.Q de Setiembre*. Parte del teniente coronel D. Josef María Luvian al comandante gene ral coronel D. Manuel de fa Concha. ,, Tengo la satisfacción de dar á V. S. parte de que el 11 del corriente fueron tomados por las valerosas armas del Rey cuatro de los puntos ventajo sísimos que ocupaban los rebeldes del Cuy uxqu ihuy , r…</t>
  </si>
  <si>
    <t>Luzon, Eugenio</t>
  </si>
  <si>
    <t>Eugenio Luzon</t>
  </si>
  <si>
    <t>…r. conde de Altatfiira 1©. Núm. 303. D. Agustín de la Hoz 6ó. Núm. 304. Un señor ministro del Real y supremo Consejo de las Indias 2©. Núm. 305. D; Blas Cuadrado 120. Nú mero 306. D. Eugenio Luzon 20. Núm. 307. Los señores cuestores del cuar tel deS. Francisco 1572 rs. y iórnrs. Núm. 308. Doña María Francisca Cue11a 20. Núm. 309. Los señores cuestores del cuartel de Palacio 848 rs. y 14 -mrs. Núm. 310. Los señores cuestbres del cuartel de Avapies 600.…</t>
  </si>
  <si>
    <t>M'elián, Manuel</t>
  </si>
  <si>
    <t>Manuel M'elián</t>
  </si>
  <si>
    <t>…el D. Sebastian Díaz; los capitanes del ba tallón del Rey D. Vicente Gallardo y D. Joaquín dél Campo , de las com pañías de granaderos y cazadores; ai teniente de esta graduado de capitán Don Manuel M'elián; ál cápítan de la sexta del segundo de Numancia D. Martin Echagarai; al teniente de cazadores del mismo batallón D. Manuel Mayoral, y subtenientes Vicente Ruiz y D. Encarnación Freites; y finalmente al te niente del batallón del Tambo D. - Agustín Ordoñéz, qu…</t>
  </si>
  <si>
    <t>M, A.</t>
  </si>
  <si>
    <t>A. M</t>
  </si>
  <si>
    <t>…256* D, F.íPé Jt* 300. Núm. 257. Doña M. A P.. 100. Núm. 2j8. D. J. E. 60. Núm. 239. D. F» S. R. 20. Núm. 260. D. A. del M. y; ¡Puente 60. Núm. 26,1. D.P. S. de L, jo..;Núm. 262. D. A. M. 2®. Núm. 263. Doii S. S. 1®. N«m.. 264. D, ¡Sebastian Flores 200. Núm. 265. Doña .A. R. 60.. Núm. 266, Doña Rosa María de las Higueras 60. Núm. 267. D. N. 1.0. Núm. 268.; El. coxwento:de dommicos de la Pasión de esta corte 320, Núme ro 269. El fielato dejtepa…</t>
  </si>
  <si>
    <t>M, A. del</t>
  </si>
  <si>
    <t>A. del M</t>
  </si>
  <si>
    <t>…200. Núm. 254.’ Pona B. S. 40. Núm: 255. Doña M;. M. yiL.1320. Núm. 256* D, F.íPé Jt* 300. Núm. 257. Doña M. A P.. 100. Núm. 2j8. D. J. E. 60. Núm. 239. D. F» S. R. 20. Núm. 260. D. A. del M. y; ¡Puente 60. Núm. 26,1. D.P. S. de L, jo..;Núm. 262. D. A. M. 2®. Núm. 263. Doii S. S. 1®. N«m.. 264. D, ¡Sebastian Flores 200. Núm. 265. Doña .A. R. 60.. Núm. 266, Doña Rosa María de las Higueras 60. Núm. 267. D. N. 1.0. Núm. 268.; El. coxwento:de dommicos…</t>
  </si>
  <si>
    <t>M, Ana M.</t>
  </si>
  <si>
    <t>Ana M. M</t>
  </si>
  <si>
    <t>…los teatros pstíf corrte v jop, Nún^. 2.29. D. N. N. ioo.;:Núm.; ?3p. D..Nicolás. Villa '8o.-Núm. ..23.1* D. N. 20. Núm.. 232. Doña P. C. 40. Núm. 233. D. E, G. 180. 1^4111.^234^ Doña Ana M. M. 10. Núm., 235. D. N. 240. Núm. 236. D. N. 3. Númeijé £37. D. Joaquín Ibañez . 109.. Núm. 238. Doña C. R. 40.'Nú». &lt;^39. -Doíi G.rP- tGo, Núm*,240. D. Josef Mauri oo* Núm. 341. Doña Anastasia* &gt;£$*13 zaíez 160. Núm. 243. D. M. L. S. C. 300. Núm, 243. ,D. Ambro…</t>
  </si>
  <si>
    <t>…rden del depositario, 12©. Núm. 685. El cabildo de la I. R. iglesia colegial de la Coruña 500. Núm. 686. D. N. 10. Núm. 687. Juliana Romero 80. Núm. 688. D. P. A. S. 40. Núm. 689. Doña Ana M. M., por segunda vez, 10. Núm. 690. El Excmo. Sr. conde de Maceda 320. Núm. 691. El limo. Sr. obispo de Córdoba 8®. Núm. 692. El Excmo. é limo. Sr. obispo de Cuenca 3©. Núm. 693. Doña N. 10. Por el correo de 14 de Diciembre s£ remitieron al limo. Sr. obispo de Cá…</t>
  </si>
  <si>
    <t>M, C.</t>
  </si>
  <si>
    <t>C. M</t>
  </si>
  <si>
    <t>…10. D. Josef Royo en metálico 22 rs. y 12 mrs , y 2077 rs. 25 £ mrs. en intereses de vales Reales. Núm. 411 D N. 60. Núm. 412. Eí Excmo. Sr. conde de Sámago 400. Nú mero 413. D F. D. C. M. 271. Núm. 414. D. D N. 200. Núm. 415. Don N. r6o. Núm 416 D. Manuel de Zaldivar 100. Núm. 417. El señor cura de S. Sebastian de Madrid, por limosnas recibidas de sus feligreses, 60. Número 418. D. N. 20. Núm. 419. D. Ramón Cazcarro, de la congregación de San…</t>
  </si>
  <si>
    <t>M, E.</t>
  </si>
  <si>
    <t>E. M</t>
  </si>
  <si>
    <t>…Núm. 143. D. V. y Doña M. 400. Núm. 144- Doña M. V. y M. 100. Núm. 14^. D. Francisco Mu ñoz, cura de Sta. Cruz de Madrid, por limosnas recibidas de sus feligreses, 200. Núm. 146. D. E. M. 100. NútTK.147. D. L. T. 60. Núm. 148. D. B. C. 120. Núm. 149. Doña J. G. y D. T. A. 40. Num.-150. D. J. L. y Doña María C. L. 400. Núm. 151. D. A. C. 220. Núm. 152. D. Faustino Sánchez Sevillano 200. Núm. 153. D. N. 160. Núm. 154. D. F. F. C. 320 rs. y 24 mr…</t>
  </si>
  <si>
    <t>…317 . D. J..P. 100. Núm. 318. D. F. M. C. 4©. Núm. 319. D. N. 20. Núm. 320. D. F. T. F. 40. Núme ro 321. El Excmo. Sr. marques de Bélgida 320. Núm. 322. D. J. M. M. 60. Núm. 323. Doña E. M. 30. Núm. 324. Un ugier dé Cámara del Real cuar to y sérvidumbre del Rey nuestro Señor 80. Núm. 325. Los señores cuesto?res del cuartel de la Plaza 8757 rs. y 26 mrs. Núm. 326. D. Iv. 320. Núr mero 327. El señor cura de S. Sebastian, por limosnas recibidas de…</t>
  </si>
  <si>
    <t>M, G. Mv</t>
  </si>
  <si>
    <t>G. Mv M</t>
  </si>
  <si>
    <t>…tel delí Barquillo , por la demanda semanal j 233#. Núm. 449. D. Pablo Martin Cainpomanes 320.''Núm. 450. D. H. M., por mano del señor cura de Stá. Crüz de Madrid, i®.rNúin. 451. D. G. Mv M..I®. Núm. 45 2. D. P. V., : en seis onzas de oro, ¡1920. Núm. 453. ;D. J. F. JL dos recibos de intereses de vales Reales importantes 2166 .rs; Nám. 454. D. A.?T;/.6ot Num, 455. ^D. -Jí A; 40. Num. 456; Doña M. H. 20. Npm.! 4(17., D¿ F. B. 400: Num. ’ 458.; La…</t>
  </si>
  <si>
    <t>M, H.</t>
  </si>
  <si>
    <t>H. M</t>
  </si>
  <si>
    <t>…del* ótden de Santiago , i roo Núm. 4.48. Los señores cuestores del cuar tel delí Barquillo , por la demanda semanal j 233#. Núm. 449. D. Pablo Martin Cainpomanes 320.''Núm. 450. D. H. M., por mano del señor cura de Stá. Crüz de Madrid, i®.rNúin. 451. D. G. Mv M..I®. Núm. 45 2. D. P. V., : en seis onzas de oro, ¡1920. Núm. 453. ;D. J. F. JL dos recibos de intereses de vales Reales importantes 2166 .rs; Nám. 454. D. A.?T;/.6ot Num, 455. ^D. -Jí…</t>
  </si>
  <si>
    <t>M, J.</t>
  </si>
  <si>
    <t>J. M</t>
  </si>
  <si>
    <t>…Collado , cálle de lá"Montera;' en Cádiz en la dé Picardo; en Barcelona en la de Dorca , y en Valencia en la de Cabrerizo. . .. . " El experimentado cazador y perfecto tirador por D. J. M. (j. N.: contiene va rios secreto^;-método^pata tirar corriendo y al vuelo; reglas para conocer.en los montW».seg^ujas estaciones del*año, .donde están,encamados Ips conejos, venados y toda rés de páóá.mddo de criar y enseñar los perros; precauciones para evit…</t>
  </si>
  <si>
    <t>…15. Doña Feliciana de Arza 120. Núm. 16. El brigadier Beza óo. Núme ro 17. D. Pablo Cabrero* y su esposa Doña Josefa Martínez 1300. Núm. ig. D. N. 60. Núm. 19. D. N. 40. Núm. 20. D. J. M. 160. Núm. 21. D. A. G. 2©. Núm. 22. D. N. 300. Núm. 23. D, N. 4. Núm'. 24. D. Custodio Alcaldeun vale Real de 150 pesos. Núm. 25. D. N. 100. Núm. 26. Doña N. 20. Núme ro 27. D. D. B . 100. Núm. 28. D. Francisco Lledias 200. Núm. 29. D. Do mingo Ortiz de Urbin…</t>
  </si>
  <si>
    <t>…tiago Antonio de Unza 80. Núm. 70. D. A. E. 70. Núm. 71. D. Domin go Riesco 60, Núm. 72. El Excmo. Sr. D. Joaquín Blake ico. Núm. 73. Don M. B. 60. Núm. 74, D. N. C. 320. Núm. 75. D. J. M. 60. Núm. 76. Don J. S. 160. Núm. 77. D. N. C. 20. Núm. 78. í). Josef Ribera 3C0. Núm'. 79. Los Sres. N. S. 800. Núm. 80. D. V. R. 20. Núm, 81. D. J. F. 100. Nú mero 82. Doñá M. E. E. 300. Núm. 83. D. J. IX. 60. Núm. 84. D. Josef de Urue 4 Núm. 85. D. Gregorio…</t>
  </si>
  <si>
    <t>…A. Vi , por ídem, con 30 ídem. *Núni^;33&gt;iP S S, con 2 reales diarios por-un año*. Núm. 34. D. Sebastian de Flores, por el tiempo de la epidemia, con 200 rs. mensuales. Núm. 3 j. D. J. M?. .de&gt; por ídem, con 6 rs.. diarios» vf.;.- ■ ;v i&lt;: . . ' {&gt; 1 •• '• Por el correo de! viernes 5 del corriente se’ha remitido un^Jétirá de 26*475 rs. al limo. Sr. obispo’de. Cádiz; destinando 15® rs..para los enfermos del Puerto de Santa María, y el resto pa…</t>
  </si>
  <si>
    <t>M, J. A.</t>
  </si>
  <si>
    <t>J. A. M</t>
  </si>
  <si>
    <t>…-.J&amp;P2Q rs. cycJi mrs,;¡Ni%n*' 5;41* El Excmo.; Sy;unarqqes de Casa-Trujo i© Núm. 542. D.'N. ro. Núm, 543. D. P. í. :2pp. Núm. ^44,' D. P. M. un vale común de 150 pesos. Núm. 545. D. J. A. M. 212 rs. y 17 mrs; iNúm. 5:46* Las señoritas de Negrilla de $us alfileres/^í)Q*• Núm^-Í^47» D. N.‘ G. ióo. Núm. 548. D. N. 60. Núm. 549. D. Á. F.-zpp.-Núm. 550. Manuela Pachón 20. Núm. 551. D. N. 400. Núm. 552. Dos médicos fran ceses que pasan á Cádiz 80. Núm.…</t>
  </si>
  <si>
    <t>M, J. E.</t>
  </si>
  <si>
    <t>J. E. M</t>
  </si>
  <si>
    <t>…ea de Sta, Cruz de Madrid, por limosna recibid ;da de un feligrés, 320. Núm. ,659. JEl reverendo abad y cabildo de la cole gial de Olivares 1®. Núm. 6&lt;5o. Doña S. S. 60. Núm..661. D. J. E. M, too. .Núm, 662. Doña M. N. 320. Núm. 663. Un feligrés de S. Pedro de Ma drid , por mano de su párroco, 8. Núm. 664. D. J. T. A. 60. Asimismo se lia suscrito: Núm. 51. El limo. Sr. obispo de Albarracin con 2 reales, diarios por es pacio de cuatro meses- . ‘ L…</t>
  </si>
  <si>
    <t>M, J. M.</t>
  </si>
  <si>
    <t>J. M. M</t>
  </si>
  <si>
    <t>IX39 diez Escandon, por ídem, con 6o ídem. Num. 25. D. J. M. M. , por ídem, con 20 ídem. Num. 26. Doña Jacinta Alonso, por idein, con 10 ídem. Nú mero 27. D. Tomas Alonso, por idem, con 20 idem. Núm. 28. Doña Vic toria Biant, por idem, con 80 idem. Núm. 29. D. N., por idem, con 90 ídem. Núm. 30. León Ponce , por idem, con…</t>
  </si>
  <si>
    <t>…iguel Gasa Juana 100. Núm. 317 . D. J..P. 100. Núm. 318. D. F. M. C. 4©. Núm. 319. D. N. 20. Núm. 320. D. F. T. F. 40. Núme ro 321. El Excmo. Sr. marques de Bélgida 320. Núm. 322. D. J. M. M. 60. Núm. 323. Doña E. M. 30. Núm. 324. Un ugier dé Cámara del Real cuar to y sérvidumbre del Rey nuestro Señor 80. Núm. 325. Los señores cuesto?res del cuartel de la Plaza 8757 rs. y 26 mrs. Núm. 326. D. Iv. 320. Núr mero 327. El señor cura de S. Sebastian, p…</t>
  </si>
  <si>
    <t>M, M.</t>
  </si>
  <si>
    <t>M. M</t>
  </si>
  <si>
    <t>…ro 385. C F, 300 rs. Núm. 386. D J. F. L. 40. Núin. 387. Don J. Y. G. y \1. P. M. roo. Núm. 388. D Pedro González 60. Núm. 389. D. A. F. R., en una letra á la vista, 500. Núm. 390 D. M. M. 20. Núme ro 391. D. C. L. 40. Núm. 392. Un señor eclesiástico 100 Núm. 393. Do ña Juana López 20. Número 394. La comunidad de Escuetas Pías de S. An tonio Abad de Madrid 320. Núm. 395. El autor y compañía cómica del co liseo de la Cruz de esta,-corre 1500. Nú…</t>
  </si>
  <si>
    <t>M, M. C.</t>
  </si>
  <si>
    <t>M. C. M</t>
  </si>
  <si>
    <t>…, del comercio, 100. Núm. 372. D. C- V. D. 200. Núm. 373. Don J. D. V. 40. Núm. 374. D. M. G. 104. Núm. 375. El Excmo Sr. emba jador de Portugal 2©. Núm. 376. D' N. 320. Núm. 377. Doña M. C. M. 200. Núm. 378. D. N. 100. Num. 379* IL A.. U. 66 rs. y 18 mrs. Aíume— ro 380. D. N. 60. Núm. 381. Doña Y. R. 22 rs. y 4 mrs. Núm. 382. El Excmo. Sr. duque de Montemar 400. Núm. 383. D. J. G. D. 40. Núm. 384. D. L. A. 100. Asimismo se ha suscrito: Núm. 36. D.…</t>
  </si>
  <si>
    <t>M, M. C. y</t>
  </si>
  <si>
    <t>M. C. y M</t>
  </si>
  <si>
    <t>…. El señor'cura de S. Pedro de Madrid, de limosnas que le han dado sus feligreses, 26. Núme ro iió. D. N. X. 40. Nutn. 117. D. M. D. S. y D. 100. Núm. 118. Don E. C. 60. Núm. 119. D. M. C. y M.C. tres libramientos de intereses de va les Reales importantes 180 f rs. Núm. 120. El señor cura de S. Sebastian de Ma drid, por limosna de una feligresa suya., 1®. Núm. 121.D. P.320. Núm. 1224 D. F- S. 320. Núm. 123. D. F. Conejo 120. Núm. 124. D. J. IL. 18.…</t>
  </si>
  <si>
    <t>M, M. S</t>
  </si>
  <si>
    <t>M. S M</t>
  </si>
  <si>
    <t>…425. Un criado de servir 10 Núm. 426. D. N, 80. Núm. 427. El señor cura de Sta. María de Madrid, por limosna recibida de una bienhechora ,60. Núm. 428. Doña M. S O. 40. Núm. 429. D. M. S M. 5:0. Núm. 430. D. N. 10. Núm. 431. D C. R. de P. 100. Núm. 432. D. N. 4. Núm. 433 bl ‘eñor cura de Santiago de Madrid, por limosnas recibidas de sus feligreses, 7®. Núm 434. D D G. T un vale co mún de 150 pesos , creación i.° de Enero de 1819 con el número 63…</t>
  </si>
  <si>
    <t>M, M. V. y</t>
  </si>
  <si>
    <t>M. V. y M</t>
  </si>
  <si>
    <t>…140. D. N. 2®. Nú mero 141. El Exorno. Sr. D. Martin García y Loigorri 200. Núm. 142. Fé lix Fernandez, mozo sirviente, de su sueldo, 20. Núm. 143. D. V. y Doña M. 400. Núm. 144- Doña M. V. y M. 100. Núm. 14^. D. Francisco Mu ñoz, cura de Sta. Cruz de Madrid, por limosnas recibidas de sus feligreses, 200. Núm. 146. D. E. M. 100. NútTK.147. D. L. T. 60. Núm. 148. D. B. C. 120. Núm. 149. Doña J. G. y D. T. A. 40. Num.-150. D. J. L. y Doña María C. L. 4…</t>
  </si>
  <si>
    <t>M, Manuel Gómez de</t>
  </si>
  <si>
    <t>Manuel Gómez de M</t>
  </si>
  <si>
    <t>…dad de arcediano de Cartagena., é-hizpjél digno elogio de las virtudes de S. M. 'el Dr. D. Mariano García Zumora, igual dignidad de arcediano de Vi llena* En el segundo ofició el -Sr. D. Manuel Gómez de M,orales, que lo es también de Lorca \y el orador fue el R. P. Er. Josef Alcaraz, predicador conventual en el Real de S. Diego, extramuros de esta ciudad ; y en el tercero dijo la misa el Dr, D. Josef Cas tro, dignidad de tesorero de. dicha s anta iglesia, y pr…</t>
  </si>
  <si>
    <t>M, P.</t>
  </si>
  <si>
    <t>P. M</t>
  </si>
  <si>
    <t>…una función extraordinaria que barí égecuía4&amp;V-.J&amp;P2Q rs. cycJi mrs,;¡Ni%n*' 5;41* El Excmo.; Sy;unarqqes de Casa-Trujo i© Núm. 542. D.'N. ro. Núm, 543. D. P. í. :2pp. Núm. ^44,' D. P. M. un vale común de 150 pesos. Núm. 545. D. J. A. M. 212 rs. y 17 mrs; iNúm. 5:46* Las señoritas de Negrilla de $us alfileres/^í)Q*• Núm^-Í^47» D. N.‘ G. ióo. Núm. 548. D. N. 60. Núm. 549. D. Á. F.-zpp.-Núm. 550. Manuela Pachón 20. Núm. 551. D. N. 400. Núm. 552.…</t>
  </si>
  <si>
    <t>M, Pedro Jacinto</t>
  </si>
  <si>
    <t>Pedro Jacinto M</t>
  </si>
  <si>
    <t>…onsistía el mayorazgo que fundo la Sra. Doña Catalina de rOlalora, á cuya reintegractoji, de las que nó se hablan, están obligadas las que .se hallaren haber dejado Ubres el señor capitán D. Pedro Jacinto M*moz y Otalora. *6. Traslado de la egecutoria que h vHIa de Ltllo tiene ganada á la del Corral de Almaguer jwura poder .rozar y arrancar sicivasy escobas y otrés del término de la dicha villroel Corral por 10 mrs. cada carga y 40 i&amp;8$ípGar, cada carro que se h…</t>
  </si>
  <si>
    <t>M, T.</t>
  </si>
  <si>
    <t>T. M</t>
  </si>
  <si>
    <t>…S. Ildefonso, 1©. Núm 338. D; Y. F. C. 20Ó. Núm. 339. Doña, M. P. R. ha entregado-un re cibo de intereses de siete vales Reales de 150 pesos, importante 631 rs. y 2 mrs. Núm. 340. Doña T. M; 1 o. Núm. 341.. El señor, cura de S Andrés de Madrid, .por limosnas recibidas de sus feligreses, 140. Núm. 342. La cor poración de los diez estríbanos de provincia de Madrid 600. Núm. 343. El Excmo. Sr. duque de Veragua, por segunda vez, 500. Núm. 344. Los t…</t>
  </si>
  <si>
    <t>M, Y-</t>
  </si>
  <si>
    <t>Y- M</t>
  </si>
  <si>
    <t>II23 mero 57.-D. Dámaso Santos 20. Núm. 58. El Excmo. Sr. marques de Santa Cruz 320. Núm. 59. D. Antonio Paño ico. Núm. óo. Doña Y- M. 20. Nú mero 61. D. Eugenio Villaseñor 200. Núm. 62. D. N. 320. Núm. 63. Don Manuel de Yela óo. Núm. 64. D. Gregorio ViiUvieja, cura de S. Josef de Madrid, por limosnas quede han dado dos feligreses suyos, 10c. Núm. 65 Miguel Fernandez, aguador de S. M., 20. N…</t>
  </si>
  <si>
    <t>M, Y. de</t>
  </si>
  <si>
    <t>Y. de M</t>
  </si>
  <si>
    <t>…m. 94. D. C. R. 2co. Núm". 95. D. Juan Carretero 200. Núm. 96. La Real corpo ración de capellanes de honor 6©. Núm. 97. Agueda Moreno, viuda, 20. Nú mero 98. D. T. S. 40. Núm. 99. D. Y. de M. 120. Núm. 100. D Manuel Piernas 4C0. Núm. 101. D. S. S. T. 1©. Núm. 102. D. Diego Man girón 120. Núm. 103. El Excmo. Sr. marques de la Concordia 3©. Núm. 104. D. N. 80. Núm. 105. Un señor brigadier del egército 80. Núm. 106. D. B. V\ 40. Para el mismo piadoso…</t>
  </si>
  <si>
    <t>M, Y. L.</t>
  </si>
  <si>
    <t>Y. L. M</t>
  </si>
  <si>
    <t>…Núm. 419. D. Ramón Cazcarro, de la congregación de San Felipe Ncri de esta corre, 320. Núm. 420. D. M 112 rs. y 8 'mrs. Número 421. D. J. L. L. 100. Núm. 422. D. N. 120. Núm 423. D. Y. L. M. 60. Núm. 424 D. P. A S. 20. Núm. 425. Un criado de servir 10 Núm. 426. D. N, 80. Núm. 427. El señor cura de Sta. María de Madrid, por limosna recibida de una bienhechora ,60. Núm. 428. Doña M. S O. 40. Núm. 429. D. M. S M. 5:0. Núm. 430. D. N. 10. Núm. 431. D…</t>
  </si>
  <si>
    <t>M, Y. M.</t>
  </si>
  <si>
    <t>Y. M. M</t>
  </si>
  <si>
    <t>…00. Núm. 80. D. V. R. 20. Núm, 81. D. J. F. 100. Nú mero 82. Doñá M. E. E. 300. Núm. 83. D. J. IX. 60. Núm. 84. D. Josef de Urue 4 Núm. 85. D. Gregorio Sánchez Madrid iox Núm. 86. D. Y. M. M. 100. Núm. 87. D. Francisco Antonio Bringas 2©. Núm. 88. D. C. R. 20. Núm. 89. D. Manuel Guerra 200. Núm, 90. D. I. de V. 160. Núm, 91* D N. 80. Núm. 92. D. J. M. 320. Núm. 93. D. M. T. 300. Núm. 94. D. C. R. 2co. Núm". 95. D. Juan Carretero 200. Núm. 96. La R…</t>
  </si>
  <si>
    <t>Ma</t>
  </si>
  <si>
    <t>…0 que gozaba cuandoceso en aqueh servicio; y que sé publiqué en lagáceta para satisfacción del interesado.1 b v : ; ? El Rey nuestro Señor se ha servido conceder su Real permiso á D. Ma nuel María del Pino , vecino de lá ciudad dé la Hávána , para poder usar la -eoa^coracióú-' dé' Ja :flor de Lis óóii que -S. M¿ Cristianísima Je, ha "agradada por su decidida adhesión á la justa causa de los Borbones. ! J Igualmente se ha servido S. M. conced…</t>
  </si>
  <si>
    <t>…nidades religiosas de Sto. Domingo y S. Francisco se colocaron en coro en los bancos del presbiterio, y se cantó el invitutorio, vioflia y famosa misa del célebre compositor mvmco D. Ma nuel de Sagasti, hijo distinguido de esta ciudad. Ofició la liturgia el .Dr. Don Josef Bernardo de Echagiie , vicario de dicha parroquia .de Sta Mana juez eclesiástico dJ arciprestazgo mayor de Guipúzcoa*, y dijo la oraaon fúnebre el R. P. Fr. D&lt; mingo lasqui…</t>
  </si>
  <si>
    <t>…e\ la compañía vencer los obstácu los al parecer insuperables que se han presentado hasta aquí para su completa plantificación. ?E1deseado desagüeles ya; ;muy notable en lamina de D. Ma nuel de Ijurra^nombra^a (del Rey; «u la de Dolores de Doña Antonia Loyo-k|</t>
  </si>
  <si>
    <t>…Mérida, en Extremadu ra, cuya dotación es de 500 ducados, Los pretendientes que quieran solicitarla dirigi rán sus memoriales al escribano primero de ayuntamiento de dicha ciudad D. Ma nuel Gasso Alvarez. Instrucción ele un padre á su hijo que entra en el servicio militar: folleto en 8.* marquilla impreso én 1791. Véndese á real en papel en el almacén de la imprenta Real. m LA IMPRENTA: REAL. /.</t>
  </si>
  <si>
    <t>…yer á las cuatro de la mañana de esta ca pital con una comitiva muy reducida. A las nueve y media llegó. S ;, M. a Aranzueque, donde descansó y. tomó un ligero almuerzo en casa de D. Ma nuel Pardo; y habiendo salido de allí á las dos y media de la tarde, entró en Sacedon á las siete. S. M. ha sido recibido en todos los pueblos del tránsito con las mas ex presivas demostraciones de amor y lealtad, esmerándose á porfía sus habitan tes y los de…</t>
  </si>
  <si>
    <t>…asta esta fecha. , Colección de los apologistas antiguos de la religión cristiana, escritos .en francés por el señor abate de Gourci, y traducida por el doctor en sagrada teología D. Ma nuel Gimeno y Urrieta: dos tomos en 4.0 impresos en 1792. Véndese á 30 rs. en pa pel en el almacén de la imprenta Real. ~ ‘ ¿ EN LA IMPRENTA REAL ~ ~</t>
  </si>
  <si>
    <t>…54878, 54876, 5488o, 36508 y 54814. De cuya demanda se ha comunicado traslado á las personas que ten gan derecho átdichos vales reales, y.en particular á D. Josef cíe Melgarejo y D. Ma nuel de Molina; en su consecuencia se les cita, llama y emplaza á todos, para que den tro del término de 30 días, contados desde la publicación de este anuncio, acudan ante dicho señor y citada escribanía á deducir y exponer lo que á su derecho conven ga jeon…</t>
  </si>
  <si>
    <t>…nos y piezas sueltas que se han publicado hasta este dia. También están de venta las ocho estampas de las cuatro entregas de la galería teatral. Retrato de la Reina nuestra.Señora Doña Ma&amp;xa Josefa Amalia, copiado del cuadro original remitido á S. M.; dedicado al Rey nuestro Señor; dibujado por Don Antonio Guerrero, y grabado por D. Francisco Suria, con el permiso de la Real acadeiriia de S. Fernando, en cuartilla de marca mayor. Se vende ilum…</t>
  </si>
  <si>
    <t>…illa que egerce D. Juan Raya* Descripción de los adornos que el Excmo. ayuntamiento dp Madrid, á nombre d$, su heroico.pueblo,; ha dispuesto para recibir á la Reina nuestra Señofa Doña Ma sía JoseeA Amalia, coh motivo del feliz enlace de muestro amado Monarca el Se ñor. D. Fernando vn. Se halla de venta en las librerías, de Perez, calle de las Car retas, y plazuela del Angel, frente á los cajones, á 13 cuartos. Oda al augusto enlace del Rey nu…</t>
  </si>
  <si>
    <t>…u tasación en metálico, y se hallan gravadas con varias cargas, cuyos capitales ascienden-á 1659 y mas rs. La audiencia del señor teniente de corregidor de esta muy heroica villa, D. Ma nuel Josef Rubio, se trasladará á la villa de Barajas, casa del Excmo. Sr. conde de Montemar, que la tiene calle de ios Hidalgos, el jueves 9 de este mes, para dar prin cipio á las 10 de su mañana á que se pongan los testimonios en relación de los res pectivo…</t>
  </si>
  <si>
    <t>…urias, representada por el director y el secretario de su comisión permanente en esta corte, tiene el honor de felici tar á V. M. por su dichoso enlace con la Reina nuestra Señora Doña Ma ría Josefa Amalia de Saxonia. Las ventajas que la nación concibe de tan feliz unión lo manifiesta su regocijo universal, especialmente la sociedad astu riana, con el doble motivo que la anima de tener á V. M. por su Rey y por su Príncipe.” S. M. contesto en i…</t>
  </si>
  <si>
    <t>Ma, Ana de</t>
  </si>
  <si>
    <t>Ana de Ma</t>
  </si>
  <si>
    <t>…del Consejo de S. M. r tenien te corregidor de esta muy heroica villa, su fech^ 12 del corriente * se ha mandado convocar á junta á todos los acreedores á la dimisión de bienes de Doña Ana de Ma ta para repartir el líquido que ha quedado de una casa que'la correspondía , y se ha subastado judicialmente, á cuyo fin se ha señalado el día 2 del próximo mes de Fe brero, y hora de las 10 de su mañana, en la casa habitación de S. S. Lo que se les hace sabe…</t>
  </si>
  <si>
    <t>Ma, Gabriela</t>
  </si>
  <si>
    <t>Gabriela Ma</t>
  </si>
  <si>
    <t>…ro, doctoral de la santa iglesia de .Monterey, la entregue á los hijos de Doña Francisca Marín, casada que fue con Don Manuel García Puente en la villa de. Tamaron; á los hijos de Doña Gabriela Ma rín, casada con D. Gaspar de Navas Márañon en la villa'1 de Celada deí Camino; í IX Melchor Marín y á D. Miguel Marín, asi bien como á los hijos respectivos da estos dos últimos. Para evitar reclamaciones , y á fin de que los que se crean con de recho puedan…</t>
  </si>
  <si>
    <t>Ma, Jiiikm</t>
  </si>
  <si>
    <t>Jiiikm Ma</t>
  </si>
  <si>
    <t>…de ornato; á D. Joséf ; Medina ilgual medalla de plata en el ramo de figuras; en el-dé cabezas á D.: Andrés -Torré»* cilla y D. Juan :Béaito ;]á DI Josef Prados eni él de manos, y D. Jiiikm Ma teo en el de: pies.’ Fueron -gratificados en la: clase de adorno Dv Josef Ruiz; en. la de figuras D. Benigno Álaiza , D. Josef Saenz de Sta. María y D. Ci-r riaco Verdejo; en la.de cabezas D. Josef Ijon; en la de manos D. Baltasar Te jada y y ¿ni; la de -.pie…</t>
  </si>
  <si>
    <t>Ma, Josef</t>
  </si>
  <si>
    <t>Josef Ma</t>
  </si>
  <si>
    <t>…no hemos tenido mas de tres heridos leves y algunos contusos. ,,Dios guarde á vmd. muchos años. Campo en el cerro de la Escalera Junio 19 de 1818. = Blas Azcarate. = Sr. teniente coronel D. Josef Ma ría Lubian.” ^ Contestación del Excmo. Sr. virey al oficio del coronel D, Manuel de la Concha. ,,Me he enterado con aprecio del parte que "V. S. acompaña á su oficio mlm. 135 de 25 del corriente, relativo al ataque que dio á ios rebeldes del Cuy uxquihuy el t…</t>
  </si>
  <si>
    <t>…traordinario del clero; y honores de alcalde del crimen de la chancillería de Valladolid á D. Agustín Tosantos y Laprada, corregidor de la ciudad de.Falencia, y de ía de Granada á D. Josef Ma&gt; ceda, alcalde mayor de Sta. Cruz de Múdela. En virtud de providencia del Sr. D. Manuel Josef Rubio, del Consejo de S, M.t teniente corregidor de esta muy heroica^villa, de 13 del corriente, se cita, llama y emplaza á las personas que se consideren con derech…</t>
  </si>
  <si>
    <t>Ma, Pablo</t>
  </si>
  <si>
    <t>Pablo Ma</t>
  </si>
  <si>
    <t>…n y Josef María Andrade, y el voluntario Dolí Felipe Tinajero. ,, Dios guarde á vmd. machos años. S. Josef -Gasas Viejas Enero 27 de x$i9=£pitacio Sánchez. =Sr. teniente coronel y comandante D. Pablo Ma ría de Mouliaá.” : Irun 3 de Octubre. • • • * Esta mañana á las.10 se verificó el solemne acto de la entrega y recibí* ¿meneo de la Reina nuestra Señora Doña María Josefa Amalia del mo do siguiente: • . . : ; s ,, Hallándose preparada Ja sala, y las dos comit…</t>
  </si>
  <si>
    <t>Ma, Simón</t>
  </si>
  <si>
    <t>Simón Ma</t>
  </si>
  <si>
    <t>…valillos, D. Josef Navarro del Dosal, D. Antonio deOñativia, D. Antonio Solana, D. Manuel.de Almarza, D. Tomas Norza-f garay, D. Josef Pascual Oto , D. * Josef Sesé, D Josef Diez, D. Simón Ma teo Perez y D. Donato Arranz; los ocho individuos ya nombrados del Real cuerpo de monteros de Cámara ; doce caballeros pages de S. M., acompaña dos de su ayo D. Miguel de Arechavala y dos directores; los alcaldes de la Real Gasa y Corte D. Andrés Oller y D. J…</t>
  </si>
  <si>
    <t>Maauel-Ealcon</t>
  </si>
  <si>
    <t>…e Balvanera y S. Juanico, emprendí mi marcha con 100 caballos de S. Carlos, Sierragorda, España y realistas de la ■última indicada hacienda, dando orden al subteniente de Zaragoza D. Maauel-Ealcon siguiese mi movimiento con la infantería que mandaba en námeró</t>
  </si>
  <si>
    <t>Mac-Kewer-</t>
  </si>
  <si>
    <t>…al Humbert ha llegado á esta ciudad con su comitiva á bordo de un barco, que ha entrado en el rio como presa del buque dé los Ectadofc-Unidos, titulado la Sorpresa, mandado por el teniente Mac-Kewer-. Ignoramos la causa verda dera de la abdicación del gefe y de Ja dispersión de esta cuadrilla de piratas: unos dicen qüe un agente de los Estados-15nidos les ha mandado evacuar el país; otros aseguran que lo han verificado por la inquietud que les causaba la…</t>
  </si>
  <si>
    <t>Macchi, Vicente</t>
  </si>
  <si>
    <t>Vicente Macchi</t>
  </si>
  <si>
    <t>…agado sus gastos ge nerosamente. Escriben algunos deViena que trae consigo 50 millones de pias tras que ha juntado durante su gobierno en el espacio de seis años. Idem /y. El Emo. Sr. Vicente Macchi, arzobispo de Nisivi, y nuncio del Papa cerca de la Confederación suiza, salió de Roma el 17 de Noviembre, y el 4 de este mes llegó á Bellinzone, donde se apeó en casa de Mr. Jauch, tesorero general del cantón, y fue cumplimentado por los landamanes Caglioni…</t>
  </si>
  <si>
    <t>Maceda, Josef</t>
  </si>
  <si>
    <t>Josef Maceda</t>
  </si>
  <si>
    <t>…ucido y numeroso concurso. &gt; A R T I C tí L O D E O F ICIO. ’■ Enterado el Rey nuestro Señor de los extraordinarios servicios que ha: hecho el alcalde mayor de Sta. Cruz de Múdela D. Josef Maceda en la per secución de malhechores, auxiliado-especialmente por el activo zelor del es cribano Manuel de Castro Marín, y por el valor, intrepidez y conocimientos prácticos de los paisanos Manuel Perez Saez y Antonio .Ximenez, se ha ser vido S. M. mandar que ad…</t>
  </si>
  <si>
    <t>Madrazo, Josef</t>
  </si>
  <si>
    <t>Josef Madrazo</t>
  </si>
  <si>
    <t>…ipe de Anglona, otro por D. Angel Saavedra, hijo dé los Excmos. Sres. duques de Rívas, y muchos de algunos profesores, como el que representaba la muerte de Lucrecia^ pinta do por D. Josef Madrazo, un S, Fernando para la capilla defcanal por Don Zacarías Veíazquez, y diversos retratos .hechos por D. Josef Aparicio, por D. Francisco Goya, por D. Luis Cruz y Ríos, por D. Rafael Tege, joven de 20 años, discípulo de la academia, de quien eran igualmente ot…</t>
  </si>
  <si>
    <t>Madrid, Genaro</t>
  </si>
  <si>
    <t>Genaro Madrid</t>
  </si>
  <si>
    <t>…ra en el sitio de la Humbria del cerro Palomo y carril de la cuesta Mermeja, linde á Jeváñte tierra de la capellanía de los Molínas, y al norte tajones de la capellanía -que posee D. Genaro Madrid, de caber 8 fanegas y un celemín del propio marco, que a no rs. cada una en que han sido valuadas ascienden á 889 rs. y 6 mrs. Otra tier na en el término de Alambra y sitio de las Peñas ahumadas , linde de la dehesa del Campillo y herederos de Juan Rojo Bailó…</t>
  </si>
  <si>
    <t>Madrid, Gregorio Sánchez</t>
  </si>
  <si>
    <t>Gregorio Sánchez Madrid</t>
  </si>
  <si>
    <t>…Ribera 3C0. Núm'. 79. Los Sres. N. S. 800. Núm. 80. D. V. R. 20. Núm, 81. D. J. F. 100. Nú mero 82. Doñá M. E. E. 300. Núm. 83. D. J. IX. 60. Núm. 84. D. Josef de Urue 4 Núm. 85. D. Gregorio Sánchez Madrid iox Núm. 86. D. Y. M. M. 100. Núm. 87. D. Francisco Antonio Bringas 2©. Núm. 88. D. C. R. 20. Núm. 89. D. Manuel Guerra 200. Núm, 90. D. I. de V. 160. Núm, 91* D N. 80. Núm. 92. D. J. M. 320. Núm. 93. D. M. T. 300. Núm. 94. D. C. R. 2co. Núm". 95. D. Juan Car…</t>
  </si>
  <si>
    <t>Madrid, Juan</t>
  </si>
  <si>
    <t>Juan Madrid</t>
  </si>
  <si>
    <t>…pan, el primero de dragones de Moneada, y el tercero de infantería de Valladclid. Merecen igual recomendación los, tenientes y alférez de dragones de Moneada D. Antonio V idilio., D. Juan Madrid y D. Antonio Gelati.” „ Y lo porgo en noticia de V. E. para su superior conocimiento, reco mendando el zelo y actividad de este bizarro gefe y á los oficiales que men ciona. ~ ,,Dios guarde á V. E. muchos años. Valladolid Agosto 30 de 1818.= Excmo. Sr.= Matías Martin y Aguirre.…</t>
  </si>
  <si>
    <t>Madroño, Antonio González</t>
  </si>
  <si>
    <t>Antonio González Madroño</t>
  </si>
  <si>
    <t>…e 18 y 9, muchas armas blancas y de chispa, y 120 hombres de tripula ción, lo que no me satisfizo por haberle contado diez portas por banda. Eñ seguida mandé al alférez de fragata D. Antonio González Madroño con la tropa y gente de mar necesaria para marinarlo, dando ai mismo tiempo las providencias oportunas para el reparto de prisioneros, y la orden al bergan tín Cantón para que con toda diligencia se dirigiese á represar el Carbonero, lo que verificó reuniéndo…</t>
  </si>
  <si>
    <t>Maé, Jóséf</t>
  </si>
  <si>
    <t>Jóséf Maé</t>
  </si>
  <si>
    <t>…peranzados coa tan singular favor habían procurado merecer con la mas constante . aplicación. El Sr. D. Pedro Franco, \VÍce-protéctor deTla Real academia de S. Fernando^ los Sres. D. Jóséf Maé*a y D. Francisco Elias ¿ 'director:y vice-dírectbé. deÍ7 a misma , habían juzgado de antemano el mérito de las obras, y señalado, Ios&gt; respectivos premios; y S. M., después de haber visto el tocador de la Serení*: sima Sra. Infanta DA Luisa Carlota de Borbon,…</t>
  </si>
  <si>
    <t>Maella', Mariano Salvador</t>
  </si>
  <si>
    <t>Mariano Salvador Maella'</t>
  </si>
  <si>
    <t>…140. Núm. 342. La cor poración de los diez estríbanos de provincia de Madrid 600. Núm. 343. El Excmo. Sr. duque de Veragua, por segunda vez, 500. Núm. 344. Los tes tamentarios de D. Mariano Salvador Maella'5 50. Núm. 345.. Doña' V. B. 200. Núm. 346. Doña N. 100. Núm. 347. El señor cura de S. Sebastian de Madrid, por limosna recibidla &lt;je%un feUgres, 309,Núm. 348. El reveren dísimo padre abad y cura de S. . Martin de Macíríd , por limosnas recibidas, de sus felig…</t>
  </si>
  <si>
    <t>Mágariños, Mateo</t>
  </si>
  <si>
    <t>Mateo Mágariños</t>
  </si>
  <si>
    <t>…e D. Miguel Novas, á Don Josef del Barrio: para.otra plaza de oidor de la Real -audiencia dé Ghíircas4, vacañte por; promoción de D. Manuel Josef de Reyes á regente de la misma, i D. Mateo Mágariños ;! yapara el’empleó' dé teniente asesor de la Paz en eí vireinato del Perú á D. Francisco de Paula Raez. En consideración á los, particulares méritos y servicios ’ del’ conde de San Fernando de Peñalver, y á los de sus ascendientes, se ha dignado S. M. con ce…</t>
  </si>
  <si>
    <t>Maida, Manuel</t>
  </si>
  <si>
    <t>Manuel Maida</t>
  </si>
  <si>
    <t>…y V soldados dé infantería; porque la escabrosidad de los caminos.no peratítio áios nuestros el alcance. Por núes*tra parte no ha habido mas que dos caballos heridos y el paisano D. Manuel Maida cpn una contusión de bala eneí pecho. Al día siguiente averigüé la ruta que habían tomado los rebeldes, y supe que todo el pelotón se había dispersado enteramente , tomando algunos la dirección hacia mi retaguardia; con cuyo informe partiendo en dos trozos mi…</t>
  </si>
  <si>
    <t>Maií</t>
  </si>
  <si>
    <t>…es á tan augusta; ceremonia. Reunidos to dos se presentó’ S. *MJ acompañado de^ los Sres. -Infáhtes:. D. Gádos María Isidro ; Doña María Fnaücisca de Asís yD. Fxanciico deJPaula y Doña Maií» /’</t>
  </si>
  <si>
    <t>Maíz, Josefa Teresa de</t>
  </si>
  <si>
    <t>Josefa Teresa de Maíz</t>
  </si>
  <si>
    <t>…S. S. por lá escribanía del numero de D. Casimiro Antónicj Gómez á decir.de su. derecho y justicia en la instancia promovida por el D. Jo sefa continuada hoy pbr los Herederos de Doña Josefa Teresa de Maíz, difunta, so bre reclamación de ocho vales Reales de 300 pesos de las creaciones de Enero y Ma yo de 1808 y Setiembre de 1809 , que si vinieren se les oirá y guardará justicia en lo •que la tuvieren; con apercibimiento de que pasado dicho término sin haber co…</t>
  </si>
  <si>
    <t>Malagamba, Lorenzo</t>
  </si>
  <si>
    <t>Lorenzo Malagamba</t>
  </si>
  <si>
    <t>…2; cuya providencia fue dictada en 30 de Julio próximo pasado á consecuencia de reclamación deducida por D. Juan Antonio Uriarte, de este comercio, qúe ha manifestado los endosó á D. Lorenzo Malagamba, quien no contesta su recibo, en cuyo concepto no pueden haber entrado en circula-' cion sin. falsificarse la firma de este. Ensayo sobre la investigacion.de la naturaleza y causas de la riqueza de las na ciones relativamente á España, ó sea la economía unive…</t>
  </si>
  <si>
    <t>Malats, Segismun do</t>
  </si>
  <si>
    <t>Segismun do Malats</t>
  </si>
  <si>
    <t>…L cirujano titular de la ciudad, quien inspeccionó . la ñerida* ,y asimismo la halló. mortal. En este estado acordán dose el corregidor ;dfl célebre y prodigioso bálsamo hecho por D. Segismun do Malats, director de$eal iescuela veterinaria, propuso que se le aplícase al paciente , lo que se verificó por medio de una geringuilla, cubriéndosele después la herida con un cabezal mojado en aguardiente. Poco después empe zaron á ceder todos los síntomas mortales;…</t>
  </si>
  <si>
    <t>Maldonado, Francisco</t>
  </si>
  <si>
    <t>Francisco Maldonado</t>
  </si>
  <si>
    <t>…as órdenes del teniente coronel graduado de realistas de este pueblo D. Tomas Díaz, reforzada con 20 paisanos de las inmediaciones de Huetamo, bajo la dirección del de igual clase D. Francisco Maldonado, emprendieron la per secución del obstinado cabecilla Vicente Guerrero por los pueblos de S. Ge rónimo, Churumuco y Atijo, y que como á 30 leguas de distancia de este último dió afortunadamente en el parage de Cantarranas con i traidor Josef María Pagóla, pre…</t>
  </si>
  <si>
    <t>Maldonado, Josef Emigdio</t>
  </si>
  <si>
    <t>Josef Emigdio Maldonado</t>
  </si>
  <si>
    <t>…Ibañez de Ocerin, oficia! quinto* de la íSeeretaríade Es.tadd&gt;(y ¡del Despaeho'de Gracia ry Justicia de Indias , por susecretario con egercicip.de decretos; y los honores^de tal á Don Josef Emigdio Maldonado, secretario del gobierno militar y político de San tiago de Cuba. Tipa de Ids 'pérsoniís que lian cbntlribtildo con donativos por uña vezf ó se han suscrito para socorrer los pueblos afligidos 'cóh la epidemia. El Rey nuestro Señor se ha dignado favorecer est…</t>
  </si>
  <si>
    <t>Malezewski, Skarbeck de</t>
  </si>
  <si>
    <t>Skarbeck de Malezewski</t>
  </si>
  <si>
    <t>…efecto esta conquista. Sucedieron en seguida las particiones déla Polonia en 1772 y 1793, y el año de 1795 completó su aniquilamiento. El dia 26 del corriente se consagró el limo. Sr. Skarbeck de Malezewski, arzobispo de Varsovia , y primado del reino de Polonia, haciendo de consa grante el obispo de Lublin en calidad de delegado de la Santa Sede. AUSTRIA. Vierta 7 de Enero. La gaceta de la corte refiere de este modo los diversos nombramientos que ha hecho ST M.…</t>
  </si>
  <si>
    <t>Mallebois</t>
  </si>
  <si>
    <t>…ala:; enría batalla y ataque de las'líneas: -irastríáeás i;fbi¿tife»dasiia| frérite^ide Brasencianel dia&gt;v6 de Junio de 1746/, del conciertooón «i. ^gércitoi francés del mando del mariscal Mallebois; en Ja retirada/ del egércitoparia :él genovesado y en, la batalla del puente Tidoni erdiaíi-^ldéi Agostó del nfiismo ano/y «n la que fue. gravemente; herido y muer# to sü caballo: se embarcó!enrGéno^ar.qori los demas'heridos-, y todos vinieron " * ■ * ' - •…</t>
  </si>
  <si>
    <t>Mallen, Josef Osorjo y</t>
  </si>
  <si>
    <t>Josef Osorjo y Mallen</t>
  </si>
  <si>
    <t>■* Rüiz y Rato, D. Fulgencio Fajares y Velando, D. Josef Osorjo y Mallen, £&gt;. Carlos Orive-y Torres,: D. Fernando Bustillos y Barreda, D. Manuel Bustilíos y Barreda, D. Josef Bustillos y Barreda y D. Pedro Ponce y Riquelme. Con la de 8 de idem: D. Federico Vargas y Mathews, D. Francisco Vargas y Mathews, D. Cayetano Pilón y Tovali…</t>
  </si>
  <si>
    <t>Malo, Francisco García</t>
  </si>
  <si>
    <t>Francisco García Malo</t>
  </si>
  <si>
    <t>…en la que deben residir los médicos directores lo mas cerca posible de sus respectiT \oS establecimientos , viven el de gehena D. Juan Alix en la ciudad de Mur cia ; el de Graena D. Francisco García Malo en la ciudad de Gusoix; el del Marmólejo D: Vicente Orti y Criado en la misma villa; el de Alhama Lcñ Diego Rodenas en di^ha' ciudad ; el de Caldas de Oviedo D. Cayetano‘Blanco 'Casariego en la villa de Ayrlés, del principado de Asturias; el de Bussot Don Joa…</t>
  </si>
  <si>
    <t>Malpartida, Vicente Mateos</t>
  </si>
  <si>
    <t>Vicente Mateos Malpartida</t>
  </si>
  <si>
    <t>…o, y á to dos sus acreedores para que dentro de tercero dia, que por primer término les prefi ja, comparezcan en ios autos de abintestado formado en aquel Real juzgado y oficio de D. Vicente Mateos Malpartida á deducir sus derechos y acciones en forma sobre los bienes relictos de aquel, pues se les oirá y guardará justicia en lo que la tuvieren; con apercibimiento de que pasado el referido término sin mas citación, ni emplaza miento, se procederá á lo demas que ha…</t>
  </si>
  <si>
    <t>Malsehoñtschí</t>
  </si>
  <si>
    <t>…gó á ésta corte un correo de Gabinete despachado por nuestro encargado de Negocios en ia corte do Petersburgo, y el domingo sa lió otro para la misma capital. Aun no ha llegado el coronel Malsehoñtschí: se.) cree que esté detenido ejrel puerto'de Petersburgo ppr~lo§ viejos,.contrarios.. &gt;.% 1 r ‘•' f'fft r*'/v V f ' '• J O/TI' AUSTRIA 0: *i. n¿[r * C,• - J '( •''■'xyj muí ‘¿il'.í-.i- X . Viena ^J^e^aypi Ha salado, para Italia fla jnadre; del. J^rriciáa cond…</t>
  </si>
  <si>
    <t>Malta, Antonio Vi</t>
  </si>
  <si>
    <t>Antonio Vi Malta</t>
  </si>
  <si>
    <t>…stro Señor sp ha dignado conceder á D. Alberto de Megino los honores de ministro del tribunal de la Contaduría mayor de cuentas. S.M. se ha .dignado conceder.su Real permiso al P. D. Antonio Vi Malta., presbítero, y ministro de la congregación del oratorio de S- Felipe Neri de la ciudad de Murcia, para que pueda usar de la cruz de la Espuela de oro cea que ha sido agraciado por S. S. Por providencia de i.° del presente mes de Abril del señor alcalde de Ca…</t>
  </si>
  <si>
    <t>Man, Diego</t>
  </si>
  <si>
    <t>Diego Man</t>
  </si>
  <si>
    <t>…e capellanes de honor 6©. Núm. 97. Agueda Moreno, viuda, 20. Nú mero 98. D. T. S. 40. Núm. 99. D. Y. de M. 120. Núm. 100. D Manuel Piernas 4C0. Núm. 101. D. S. S. T. 1©. Núm. 102. D. Diego Man girón 120. Núm. 103. El Excmo. Sr. marques de la Concordia 3©. Núm. 104. D. N. 80. Núm. 105. Un señor brigadier del egército 80. Núm. 106. D. B. V\ 40. Para el mismo piadoso objeto se han suscrito: Núm. 10 D. Juan Lecan-r da, por el.tiempo de la epidemia, con…</t>
  </si>
  <si>
    <t>Manes, Francisco</t>
  </si>
  <si>
    <t>Francisco Manes</t>
  </si>
  <si>
    <t>…y D. Nicolás María Arizmendi, comisario de Marina graduado. C Ó R'R E.G I D O R ES. De Guipúzcoa. A D. Martin Xavier Muzquiz, oidor del Consejo de Navarra. ' - ' ; De XJtiel. * A D. Francisco Manes. , ' . , ■ De Vivero. ' &gt; A D¿ Nicolás Bartolomé Alvarez Pardo. u . • ^ r De Carrion de los Condes. A D. Julián Bringas. ALCALDES MAYORES. . ^ T , De Medina de las Torres. " ‘ ^ A D. Carlos Angulo. ' ! ' De Fiñana. ’ * /. * , A D. Juan Antonio Bolaño. Délas p…</t>
  </si>
  <si>
    <t>Manrique, Basilio García</t>
  </si>
  <si>
    <t>Basilio García Manrique</t>
  </si>
  <si>
    <t>iio4 De la audiencia de Cataluña. A D. Juan Delicado, asesor del gobierno militar de Málaga. De la de Galicia. - , A D. Basilio García Manrique, corregidor de Astorga. De la de Sevilla: A D. Juan Bautista Alberola, corregidor de Andujar. De la de Asturias. , ^ A D. Andrés Josef Amat y Robles, corregidor de Alearaz. í De' la de Aragón. A D. Fernando María López Sagredo, corregidor de Trujillo. v De la…</t>
  </si>
  <si>
    <t>Manrique, Tomas María</t>
  </si>
  <si>
    <t>Tomas María Manrique</t>
  </si>
  <si>
    <t>6it Por la audiencia del Sr. D.' Angel Fernandez de los Ríos, del Conséjo de S. M., y teniente primero de corregíJor de esta muy heroica villa, y'pot la escribanía del numero de D. Tomas María Manrique, se lia cumplimentado un despacho emplazatorio del Excmo. Sr. capitán general de la ciudad de Barcelona y principado de Ca taluña, librado á instancia de D. Olegario Argemir, vecino de la misma ciudad, pai ra que en el, término de nueve dias comparezca á su j…</t>
  </si>
  <si>
    <t>…........... . # Por providencia del Sr. D. Ángel Fernatidez de los Ríos í* del Consejo de S. M, primer teniente de corregidor de esta muy heroica villa, y escribaníavdel'número de D. Tomas María Manrique, se ha mandado sacar á pública subasta una viña sita en término del lugar de Fuencarral donde dicen Calberon , de 6po y mas cepas vivas, tasadas en 3600 rs. vn., y uñá tierra de dos fanegas y media de sembradura existenté en el propio término donde dicen la H…</t>
  </si>
  <si>
    <t>,rÉn virtud de providencia del Sr. D. Manneljosef Rubio, del C0flJj5jcyde.fi., M.r teniente de corregidor' dé esta muy heroica villa; refrendada mero D. Tomas María Manrique, se cita-» llama y. emplaza por'tercero y último ,^érV mirló de 10. días, contados' desde la publicación.de este anuncio, á D- ^uáh 'Angel-, de( Arahburu, a los Sres. Rülli y Goíl, á D. Ramón Vidal y Martí1 v. £&gt;• Pedro ' Martin dé Iriarte, 61 timos tenedores…</t>
  </si>
  <si>
    <t>ManSílía, Francisco</t>
  </si>
  <si>
    <t>Francisco ManSílía</t>
  </si>
  <si>
    <t>…y Uso de uniforme de practicante de cirugía militar de egército, que le corresponde por el artículo 2.0 de la citada circular. /Y por .otra del mismo dia se ha servido conceder á D. Francisco ManSílía, médico titular de la villa de Colmenar viejo., el fuero militar y uso de uniforme de. médico de número de egército,, que ^corresponde por el artícu lo; 3.? de ia expresada, circular. Declarando ai mismo tiempo le ha sido muy grata á S. M. la cesión que respe…</t>
  </si>
  <si>
    <t>Manteles, Juan</t>
  </si>
  <si>
    <t>Juan Manteles</t>
  </si>
  <si>
    <t>…mar y emplazar por último y perentorio término de 30 días, contados desde en que se publique en gace ta , á todos los que se crean con derecho á los bienes concursados del difunto Don Juan Manteles, vecino que fue de esta villa, para que dentro del dicho término lo hagan constar en la audiencia de dicho señor por medio de procurador con poder bas tante, y espirado sin hacerlo se dará á los autos el curso que corresponda y les parará el perjuicio que hay…</t>
  </si>
  <si>
    <t>MánueI.t</t>
  </si>
  <si>
    <t>…y. escribanía de D. Elias Izquierdo y Payan, se ha^dicta^b do providencia mandando sitjár^ y .emplazar axtia-ntos se consideren con dqrefhQ:á lay masa'/'concurso de‘acreedores de D. MánueI.t0-regQríp Márfine/,^ paraje en el tér-... mino de un año, contado desde lá publicación,’comparezcan á formalizarlo con Jos* documentos que los comprueben; prevenidos, que en d^fectp lo que se actúe y resuel va les parará ef mismo'peHufcíoqiíé si fuese‘con su i…</t>
  </si>
  <si>
    <t>Manuel</t>
  </si>
  <si>
    <t>…la satisfacción de ver lograda la pacificación de Barlovento. ,, Dios guarde á V. S. muchos anos. Ixhuatlan Mayo 2,3 ele i8i8.=Jo$ef Ignacio de Echartea. =Sr. coronel y comandante general D. Manuel de la Concha.” ídem 11 de Julio. x ; 1 ¡RUMBO DEL SUR, Oficio del coronel y comandante general D. Jojcf Qrahriel de Armijo, ,,Excmo. Sr.; Paso á las superiores manos de V‘. E. las listas nominales que comprenden 4371 individuos presentados i disfrutar la Real…</t>
  </si>
  <si>
    <t>…rada con los indios tiburones y tepocas por el gobernador de la provincia de Sonora brigadier D. Antonio Cordero.’' Idem jj de Julio. LLANOS DE APAN. Oficio del comandante general coronel D. Manuel de la Concha. ,, Excmo. Sr.; Acompaño á V- E. el parte original, que con fecha 19</t>
  </si>
  <si>
    <t>…an ante dicho señor por el oficio de D. Claudio Sanz, escribano del numero, á decir y exponer lo que á su d ¿reícho convenga en el juicio promovido á instancia de los herederos de D. Manuel de ■Cartábarría., vecino que fue de esta corte, sobre perteiíencia de nueve vales Reales de á 600 pesos cada uno de i.° de Mayo de r8o8., números 3951*4.^ 400242,, «40 &lt;5 32.9., 393164, 39*171., 396039, 38Ó899,384877 y 379885 , ios cuales |e re tuvieron en la…</t>
  </si>
  <si>
    <t>…o. Sr. = Hermenegildo Revuelta. Excmo. Sr. mariscal de campo D. Josef de la Cruz.’* Idem i.Q de Setiembre*. Parte del teniente coronel D. Josef María Luvian al comandante gene ral coronel D. Manuel de fa Concha. ,, Tengo la satisfacción de dar á V. S. parte de que el 11 del corriente fueron tomados por las valerosas armas del Rey cuatro de los puntos ventajo sísimos que ocupaban los rebeldes del Cuy uxqu ihuy , restándome solo dospor haberme faltado tie…</t>
  </si>
  <si>
    <t>…nte Cowley, y lo participo á V. S. para su conocimiento. ,,Dios guarde á V. S. muchos años. Campo de Texquitipan Mayo i6 de x8:i 8. = Josef María Luvian. =Sr. coronel y comandante general D. Manuel de la Concha.” Madrid de Marzo. Habiendo mandado el Rey nuestro Señor que se hiciesen honras solemnes en la iglesia de S. Francisco el Grande de esta corte por su augusta Esposa la Reina nuestra Señora Doña María Isabel de Braganza, en los mismos términos que…</t>
  </si>
  <si>
    <t>…o se practique y resuelva el mismo perjuicio que si fuese con su intervención y audiencia. ' &gt; Historia literaria de la edad media, traducida del francés y aumentada con notas por D. Manuel^Antonio del Campo y Rivas: un tomo en 8.°miarquilla impreso en 1791. Véndese á 11 rs. en papel en el almacén de la imprenta Real. Cartas á Sofía én prosa y verso sobre la Física, Química é Historia natural, tra ducidas del francés por D. Eugenio de Tapia :5to…</t>
  </si>
  <si>
    <t>…a proviri:cja de Tuy al mariscal de campo D. Josef Imaz; el gobierno de Gata , en Extremadura, .al capitán D. Antonio Amienta; el de! castillo de S. Felipe de la ría del Ferrol al coronel D. Manuel,¡Calderon de la Barca, que lo.era de</t>
  </si>
  <si>
    <t>…de Araujot iD. Francisco de Pimía Ro.driguez, con la clave geográfica deiFiorez: D. Alonso Fernandez , con las‘fá bulas de Samaniego: D. Josef de Quintanilla, con las de Triarte r D. Manuel de la Serna ;y Ascáráte, con la gramática de la academia españolar D. Andrés .Cor'sitip de Salas,, con la ortografía de la misma: D. Tomas García, con la co lección de autores latinos de Lozano: D. Miguel Granado García, con la gra. marica latina de Aráujo :…</t>
  </si>
  <si>
    <t>844</t>
  </si>
  <si>
    <t>…esiástica. Todo lo que comunico á V. S. para su debido conocimiento. ’ ,,Dios guarde á V. S. muchos años. Guahuitlan Febrero 5 de 1819. =2 Juan Godines. = Sr. coronel y comandante general D. Manuel de la ConcKa.,, Bilbao g de AgostOi El dia de ayer se presentaron á examen público tos alumnos de las escue* las gratuitas erigidas por el consulado de esta villa. Los de la clase de lengua francesa fueron examinados en los principios de analogía y pronunciac…</t>
  </si>
  <si>
    <t>ESPAÑA;’ México jj de Marzo, LLANOS BE APAN. Oficio del comandante general coronel D. Manuel de la Concha al Exce? lentísimo Sr. í)irey, **\ ,, Excmo. Sr.: Acompaño á V. E. el parte que con fecha 5 del corriente me ha remitido desdé el destacamento de Cüahuitlan el capitán D. Juan Godines de la expedición á que salió el dia ¿sobre el parage nombrado…</t>
  </si>
  <si>
    <t>…iento de D- Feli ciano laz y Pozo, á D. Patricio Gabriel Mendez; para la dignidad de arce diano de la misma sarita iglesia, vacante por fallecimiento de D. Benito Concha y Jara» á D. Manuel de la Sota y Beingolea; para la dignidad de arce♦ diano *a santa iglesia catedral de Sta. Marta, vacante por iallecimiento de</t>
  </si>
  <si>
    <t>…día 28 de Enero del presente año en el Real monasterio de padre? Benitos dp la ciud,ad de Nágera por la Reina nue?tra¿ Señora DoSa María Isab^i, de Braganza y Bprbon dijo el R. P, D. Manuel 'Merino, prior mayor de dicho monasterio, y juez examinador sinodal del Real y supremo Consejo de las Ordenes, dedicada al Excmo. Sr. conde de Mi randa , mayordomo mayor del Rey nuestro Señor. Sé hallará en la librería de Brun, y en Logroñp en la de Brieva. T…</t>
  </si>
  <si>
    <t>…railitares o patriotas que. hubiesen muerto en defensa de la justa causa de -la nación, ha cabido en suerte deL primer extracto de la de este día á' Dona Juana Osulliyan, hija de D. Manuel, coronel del regimiento infantería de Fernando vn, muerto en el campo del honor. &lt; Con aprobación del-Rey nuestro Señor, y acuerdo del Sermo. Sr. Infante JD. Carlos, gefe principal de lá Real academia de S. Fernando, ha dispuesto ¿ésta abrir* al público desdé…</t>
  </si>
  <si>
    <t>1278</t>
  </si>
  <si>
    <t>…camino. Madrid 13 de Diciembre. El día del pasado tuvieron la honra de felicitar á S. M. por su augusto enlace á nombre de la provincia de Alava el Excmo. Sr. conde de Torrejon, y D. Manuel de la Riva Herrera; el primero de los cuales dirigió á $. M. el discurso siguiente: Señor: ,,La M. N. y M. L» provincia de Alava, que tuvo el honor de ser una de las primeras que ¡ofrecieron sus respetos á L. R. P. de la Reina nuestra Señora, nos ha dado el h…</t>
  </si>
  <si>
    <t>Manuel, Santiago</t>
  </si>
  <si>
    <t>Santiago Manuel</t>
  </si>
  <si>
    <t>…irtud de'providencia del $r, Dv Francisco Cándido de Paz., de) Consejo de S. Ü.y alcalde de la .Real Casa y Corte, refrendada del escribano de provincia y co misiones" de Ja misma D. Santiago Manuel dé Alboniga , se lia señalado el dia 1.® de .Julio próximo, á las n de su mañana, en la audiencá de S.S., para el remate de - dos viñas, la una de viduño jaén, sita en el término de la villa de Torrelaguna, y parage llamado dé la Corona, con 80 olivos, de 24…</t>
  </si>
  <si>
    <t>Manuel, Vicénfe MazeyLizknn de Cano</t>
  </si>
  <si>
    <t>Vicénfe MazeyLizknn de Cano Manuel</t>
  </si>
  <si>
    <t>…ncisco Navas Garro de Ulloa, D. Antonio Solís y González, D. Julián Giraldo y Molina, D. Joaquín Muñoz y Larraiñzár ¿ D; Salvador Hidalgo y Sarria, D. Juan Labastida y Bustamante, D. Vicénfe MazeyLizknn de Cano Manuel, D. Cayetano Vivanco y Young, D Josef Avila y Miranda, Don Antonio Ibañez y Ortega, D. Gregorio Aso Travieso, D. Mariano Fernan dez Tejeiro, D Bartolomé ,Gil de Padilla, D. Francisco Ugarte y Epalza, D. Jo«ef Ibañez y Ortega, D. Joaquín Gutiérrez Peña, D. Fer…</t>
  </si>
  <si>
    <t>Manuela--Nieto</t>
  </si>
  <si>
    <t>…uz:' Doña Josefa Barba josa, discípula y pasanta dé la Real'escuela del barrio de; Pinto; Doña María Regina Santos, discípula y pasanta de la Real escuelndeh barrio de S. Basilio: Doña Manuela--Nieto, discípula de la Real escuela del barrio de S. Plácido: Doña María Fernandez, discípula y pasanta de la Real escuela del barrio del Buen-Suceso: Doña Juana Isidora Salgado, discípula y pasanta dé la Real escuela deF barrio dé $. Antonio Abad: Doña Máría N¡-r…</t>
  </si>
  <si>
    <t>Manzanos, Francisco Xavier</t>
  </si>
  <si>
    <t>Francisco Xavier Manzanos</t>
  </si>
  <si>
    <t>…lchor Cortés y Llagas.; , , ' . . ' En América.• El Rey nuestro Señor-se ha dignado nombrar para la pía* .z&amp; de oidor .de la-Real audiencia dé Charcas , vacante; por .promoción de Don Francisco Xavier Manzanos á regente de la de Quito, á D. Nicolás Arana jCalbache: parada plaza de oidor de la Real audiencia de México, vacante por traslación de D. Miguel Ramón Modet, i D. Juan Josef Recacho: para Ja fiscalía del crimen de .la Real, audiencia.de Quito, vacante por as…</t>
  </si>
  <si>
    <t>Mar</t>
  </si>
  <si>
    <t>…m.* fNúm. ,47.;E). • Ramón Sanz- por •Idem.,'con 3Qddcah.;Núm¡,48. D. Joaquín d&amp;Jazquez ,.poí ídem., con! 20 adero. ;Núm; 49: Dona Gáladdijosái, por idem,, con j o, ídem. Núm. 50. Doña Mar xíá Josefa de Arélniegai, *por idem , con go idem. • i . Por el coiíreá de 16 «de Noviembre se libraron al limo. £r. obispo dé-Cá— -di25, con anuencia de Sí Mi;215^ rsi vri., !pa*a- que S. I. :ldS-distribuya en los rénfermos de 1 ás¡ 'poblacionesttoár agradas…</t>
  </si>
  <si>
    <t>Mar, Cárlos</t>
  </si>
  <si>
    <t>Cárlos Mar</t>
  </si>
  <si>
    <t>…caballero gran cruz de Ja orden de Cárlos m, gentilhombre de Cámara con egercicio, teniente general de los Reales egérci tos, y caballerizo mayor de la Reina nuestra Señora; y yo D. Cárlos Mar tínez de Irujo, marques de Casa-Irujo, como primer Secretario interino de Estado y del Despacho universal.*’ En seguida el aposentador de palacio y el conserge aproximaron la mesa para que firmase S. M. y después el Sermo. Sr. Infante D. Francisco: con cluido…</t>
  </si>
  <si>
    <t>Már, Matías</t>
  </si>
  <si>
    <t>Matías Már</t>
  </si>
  <si>
    <t>…ús Calderón, Don «Josef Mari# Novillo y Valentín Malagoñ. . ¿ ,, Dios guarde á V. S. muchos años. Zinapécuaro Agosto 30 de 1818.== Ramón García y Reguera.=Sr. coronel y comandante general D. Matías Már■ - 1 ' 1 ’ -tin y Agüítre ;! - A : : &gt; ' ^ Idtm j de Noviembre. - En todo él mes próximo pasado Octubre se concedieron á nombre de -S. M.Í por el Excmo. Sr. virey 66 indultos 4 otros tantos individuos que se "tpre5e|it4r0ft solicitándolo. r ' ■ -«npe ub .( \M…</t>
  </si>
  <si>
    <t>Mar, Santiago</t>
  </si>
  <si>
    <t>Santiago Mar</t>
  </si>
  <si>
    <t>….v En Cádiz. 1000 ídem......... En Santander. En virtud de providencia del Sr. D. Francisco Cándido de Paz, del Consejo dé. S. M., y akalde.de su Real. Casa y Corte, refrendada de D. Santiago Mar reí de Albcniga, escribano de provincia y comisiones de la misma, se han mandado sacan í } ública subasta por término de 30 dias, que empezarán á contarse de.-de ei dia 11 del corriente, una viña de viduño jaén, sita en el termino de la villa de ToTrelaguna,…</t>
  </si>
  <si>
    <t>Márañon, Gaspar de Navas</t>
  </si>
  <si>
    <t>Gaspar de Navas Márañon</t>
  </si>
  <si>
    <t>…de .Monterey, la entregue á los hijos de Doña Francisca Marín, casada que fue con Don Manuel García Puente en la villa de. Tamaron; á los hijos de Doña Gabriela Ma rín, casada con D. Gaspar de Navas Márañon en la villa'1 de Celada deí Camino; í IX Melchor Marín y á D. Miguel Marín, asi bien como á los hijos respectivos da estos dos últimos. Para evitar reclamaciones , y á fin de que los que se crean con de recho puedan ocurrir, se les señalá el plazo dé dos mese…</t>
  </si>
  <si>
    <t>Marañosa, Luis Basols y</t>
  </si>
  <si>
    <t>Luis Basols y Marañosa</t>
  </si>
  <si>
    <t>…ro Nove-lla,y Rppbiera, D. Francisco Orlando,y Fernandez, D. Aniceto Calvez, de Pedro, D.¡Juan Lacemba y Víale, Don Santiago Posadillo y Chavarri, D Rafael Sentistillano y Pescio, D. Luis Basols y Marañosa, D. Josef Pezuela y Heres, D. Juan Eiizaide y Royo, ,D. Diego Guerrero y Sedaño, D. Julián Velarde y Santillan, D. Josef Abev11a y Conde, D. Juan Teran y Caldera , D. Juan DFIerve y Paredes, Don Francisco Navas Garro de Ulloa, D. Antonio Solís y González, D.…</t>
  </si>
  <si>
    <t>Marcelo.Vicentees</t>
  </si>
  <si>
    <t>…usticia, quien decidirá la elección, previos los informes conducentes. . r' ■ ; vi En la villa de Valencia de D. Juan, reino de León, ha vatado la plaza de ciru jano por muerte de D. Marcelo.Vicentees plaza de estuche, vale49 rs., que se co bran de los propios en efectivo. Los que aspiren á ella acudirán á dicho aytintapiieiir to por medio de su corregidor D. Manuel de Quevedo. El arquitecto práctico'civil, military agrimensor, dividido en tres libros. El…</t>
  </si>
  <si>
    <t>Marcha, Juan de Baeza y</t>
  </si>
  <si>
    <t>Juan de Baeza y Marcha</t>
  </si>
  <si>
    <t>…ue se confiscaron al citado condestable. 24. Testimonio de filiación de legitimidad y sucesiones por línea materna de D. Josef Estensoro de la Peña y Cortázar, desde el comendador D. Juan de Baeza y Marcha, aposentador de la Emperatriz nuestra Señora, méritos y servicios de D. Sebastian de la Peña, en el Real y supremo Consejo de las Indias,: sacado en la ciudad de México á 31 de Diciembre de 1720 por el escribano Josef Benito de Arrióla. (Se continuara.)</t>
  </si>
  <si>
    <t>Marescot</t>
  </si>
  <si>
    <t>…erca de S. M. el Rey de Wurtemberg, al teniente general conde Mauricio Mathieu, al consejero de Estado barón Monnier, al conde Mollieu, al conde de Montalivet, al teniente general conde Marescot, al conde de Montesquiou, al conde de.............., al conde de Pontecoulant, á nuestro primo el duque de Plasencia, al mariscal de campo marques de Pange, al consejero de Estado conde Pelet de la Lozere, al conde Portalis, consejero de Estado, y ministro pl…</t>
  </si>
  <si>
    <t>Marí</t>
  </si>
  <si>
    <t>…arda mayor de^Damas*dé;S; M;,*3cóh:IX Melchor de la Guardia y de más Jjerjnanos herederos abintestato d® Jaimfi.de Jla Qu^dia,, sobre, que* la de vuelvan lá dote que llevó su hija Doña Marí^ l'erefta de Óvando y Sierra al matri monió que contrajo con el D. Jaime; én cuyos autos'se ha servido mandar dicho su premo tribunal en providencia de 14 ,de este mes se cite ,.llame y emplace á Don Augusto Béáuláiricoúrs, conde de Maries , !paj,alijúé en' e…</t>
  </si>
  <si>
    <t>Mari</t>
  </si>
  <si>
    <t>1164</t>
  </si>
  <si>
    <t>…a historia de tow das las edades y siglos, manifiesta ahora de nuevo aquellos tan.justos sentimien tos coa d plausible motivo del matrimonio de V- M. con la. Reena nuestra Señora. Doña Mari a Josefa Amalia de Saxonla; y habiendo tocado, re presentarla pprfjutos comisionados, todos hijos y naturales de dicha ciudad,. esp*eraa estos sea un suceso y enlace de que tantos bienes y felicidades se promete la nación española.” Continúa la lista de los s…</t>
  </si>
  <si>
    <t>Mari, Magín</t>
  </si>
  <si>
    <t>Magín Mari</t>
  </si>
  <si>
    <t>…l Sr. D. Manuel Josef Rubio, del Consejo de S. M., teniente corregidor de esta muy heroica villa, se cita, llama y emplaza á todas las personas que sean acreedoras á los bienes de D. Magín Mari, vecino del lugar de Carkbanchel de Abajo, para que en el término de 20 dias, contados desde el 19 de este mes comparezcan ante S. S. por sí ó por medio de procurador, con poder bastante, en lbs autos de suspensión de pagos formados á instancia del mismo en s…</t>
  </si>
  <si>
    <t>…ea el término de 30 dias, contados desde 27 del pasado, que se admitirán en el todo de su tasa y pago en metálico. No habiendo tenido efecto la junta de acreedores a los bienes de D. Magín Mari,</t>
  </si>
  <si>
    <t>Maria</t>
  </si>
  <si>
    <t>…esa, traducida al castellano por el teniente coronel D. Antonio Sarmiento: dos tomos en'12.0, adornados con una lámina al frontis, segunda de la colección que publica en Barcelona D. Maria no de Cabrerizo. Esta ingeniosa novela se halla traducida en casi todos los idiomas: de Europa; tanto ínteres ha sabido darle'su autor, el cual por una serie de aconte cimientos verosímiles y escenas tornadas de la sociedad, presenta á la'juventud lec ciones…</t>
  </si>
  <si>
    <t>María</t>
  </si>
  <si>
    <t>…e elección de oficios ae justicia, = Otro testimonio de' egecútoria y pose sión dada á D. Matias Ovejero. en hombre de D. Antonio Bustamante y Cetallos , como pon junta persona de Doña María de ,1a Portilla Cevalíosy Que— vedo, expedida en el mes de Julio de 16.24 Requisitoria pitra, que den laposes ion á D. Sancho Carrillo, poder-habiente de D. Juan Carrillo y Doña Margarita Carrillo, sus; hermanosen 18 de ¡Diciembre de 1684, = Otro, tes timonió…</t>
  </si>
  <si>
    <t>…* r* 1 ESPAÑA. ' - ,. \¡ ' Alctfzftr A — El ^qbernoáor y aytíntómientoi jdel egta villa, ¡capital del gran priorato, llenos dq¡ amargura con la muerte ¡de. ?nde$ffá amada Soberana Doña María bel ■ Francisca .be Bragaíjza (qué está encgloria.) dispuso «celebrar txé* qui.is por el alma de la mejor ¿de Jafr Jbmm, i rías qU*. ariírieroivel tribunal eclesiástico^.el clero secular y regular, las,autoridadesciviies., -los ge-fe-s miliatares y.yklos, de…</t>
  </si>
  <si>
    <t>…ar Bernardo Santiago Vi Ilota, ugier que fue de sa leta de S, M., ante Pablo Soto de.Velasco, escribano de provincia , fecha eñ Madrid 27 de Noviembre de 1696. - 20. Testamento de Doña María. Laguna-, vecina de esta corte, con otro^ varios papeleé; otorgada en 30 de Diciembre de 1787'ante D. Ramón Josef Aguado, escribano Real en esta córte. 21. Testimonio de úna escritura de imposición de censo, otorgada por Doña Beatriz Ramírez de Mendoza, conde…</t>
  </si>
  <si>
    <t>…o de esta M. N. y M. I . ciudad , que siempre: ha ^acredi tado su acendrado amor y respéto á sus Soberanos, penetrado del mas justo Sentimiento por la pérdida de su augustas'Reina Doña María [Isabel de Bragatíza , y de los Reyes Padres'D. 'Carlos iv y'Dóña María 'Luisá dé Bordón,trató de tributar e! ob equio funébre debido á su memoria por el ór^ den dbi fallecimiento de dichas Personas Reales. .Asi se verifico en los días 26, 27 y 28 del pasado…</t>
  </si>
  <si>
    <t>…de la Real escuela ,délr barrio del SdcRasilim,fiüemj en el del Barquillo á Doña Francisca Tandilia, maestra déTIaReal escuela det barrio de las SaLsas, ídem; en el de S. Martin á Doña María, dé laMata» maestra de la Real escuela del barrio de S* Luis* iden^i en el der¡S.i Gerdni^ mo á Doña María Antonia de la Yerba, maestra de la Real escuela'dei ibarrid de Pinto, idem t. en el de A vapies ,á Dpña Mariana: &gt;Pobeda, ?máestra&gt;; de Id Real escuela…</t>
  </si>
  <si>
    <t>…solemne^ exequias que la comunidad de RR. PP. franciscos observantes de la ciudad de León celebró el 17 de Febrero en su iglesia \ á la piadosa memoria de nuestra Soberana augusta Doña María. .Isabel de Bra-, ganza dijo el R. P. Fr. Andrés de las Vallinas, lector de teología, y calificador del Sto. Oficio de Valladolid. Ss vende en las librerías de Perez, calle de las Carretas y plazuela del Angel. EN XA IMPRENTA REAL,</t>
  </si>
  <si>
    <t>…tores del cuartel de Maravillas, por resto de la demanda de su cuartel, 896. Núm. 406. D. N. N. y Doña N. N. 300. Número 407. Don Pablo Diez t 20. Núin. 408. Los testamentario^ de Doña María de los Ange les Barcenilia 1500. Núm. 409. D. D. N. 6o- Núm. 410. D. Josef Royo en metálico 22 rs. y 12 mrs , y 2077 rs. 25 £ mrs. en intereses de vales Reales. Núm. 411 D N. 60. Núm. 412. Eí Excmo. Sr. conde de Sámago 400. Nú mero 413. D F. D. C. M. 271. Núm…</t>
  </si>
  <si>
    <t>…s á una de lásfhuérfanas de los militares ó patriotas qué. hubiesen muerto en defensa de la justa causa de lá nación, ha. cabido en suerte del primer extracto de *la de este dia á Doña María de la Soledad Norzagaray, hija de D. Fernando, sár-^ gento mayor de Ingenieros, muerto en el campo del. honor. ‘ ‘ -------- --1- ■ -• ~ ..................... ; - ' — - ---------------- — ■ ----------- —-------- ■ - -- - - - JL.___________________ ____________…</t>
  </si>
  <si>
    <t>…de D. isidro Velardé y Doña Francisca del Corro, y hermano de D. Isidro, D. Antonio y de Doña Francisca, casada con D. Juan de la Vega Noruega, vecino del lugar de Camíjanes, y de Doña María y Doña Catalina Velarde, en su testamento que otorgó en 15 de Octubre de 1672 ante Gonzalo Cortiguera, mandó la casa que habitaba en la calle del Cantón con su huerta por de vínculo y mayorazgo perpetuo á Francisca Fernan dez de Acevedo, disponiendo también que á su muerte la dejase…</t>
  </si>
  <si>
    <t>…Ripoll, que lo es de Adjutorio Roqueta, y con otros; . en cuyos autos era parte Doña Rafaela Verge, que ha fallecido , nombrando por he redera universal de sus bienes á la citada Doña María, su sobrina, la que no ha sido habida, ignorándose su paradero, y por lo mismo se publica este aviso á los fines ma nifestados y efectos que haya lugar. Las dos casas sitas en esta corte, la uná en la calle de Atocha con accesorias á la de S. Ildefonso, señal…</t>
  </si>
  <si>
    <t>María, Carlos</t>
  </si>
  <si>
    <t>Carlos María</t>
  </si>
  <si>
    <t>…cindario la triste noticia,de la muer* te de la Reina nuestra Señora Doña María Isabri, de Braganza y Bqr*bon , y de poner en sus P eales manos y las de los Sermos. Sres. Infantes Don Carlos María y D. Francisco de Paula egenipiares impresos , que contienen la relación de las- solemnes exequias que celebró en sufragio del alma de dicha</t>
  </si>
  <si>
    <t>…legó á las once á esta corte, entrando por la puerta de Atocha en un coche descu bierto con la Serma, Sra..Infanta Doña María Francisca , acompañadas de los ;Sermos. Sres Infantes D. Carlos María y D. Francisco de Paula, que iban a! lado del carruage á caballo; á cuyo fin habían salido SS. AA. á las 9 al en cuentro de aquella augusta'Señora. En. esta forma se dirigieron por el Prado, calles de Alcalá y Mayor al Real Palacio, en. medio de los vivas y aclama ciones de un numer…</t>
  </si>
  <si>
    <t>María, Cárlos</t>
  </si>
  <si>
    <t>Cárlos María</t>
  </si>
  <si>
    <t>…dole el tintero D. Juan Miguel Grijalba, ayuda de Cámara de S. M., su secretario de Cámara. Debajo de la firma de S. M. pusieron las su yas por su órden los Sermos. Sres. Infantes D. Cárlos María, Doña María Francisca de Asís, D. Frqiftápqp/iq Pau^^rípopa Luiga Carlota, llevándoles</t>
  </si>
  <si>
    <t>1245</t>
  </si>
  <si>
    <t>…de Santistéban , gentilhombre de cá mara de S. M. con egercicio ; marques de Millanueva de Duero, conde de Villariezo, mayordomo y caballerizo mayor de los Sermos. Sres. Infantes Don Cárlos María y Doña María Francisca ele Asís, y el Si\ conde de Montesclaros, gentilhombre de cámara de S. M.; de los cuales el primero se expresó en los términos siguientes Señor: ,, El ayuntamiento de la ciudad de Burgos nos comisiona para dar en sut nombre á V. M. la mas satisfactoria y resp…</t>
  </si>
  <si>
    <t>María, Josef</t>
  </si>
  <si>
    <t>Josef María</t>
  </si>
  <si>
    <t>…vuestraneirtera'.: Tendréisló entendido, y lo comunicareis á qqieiíes^ corresponda páraf sü cumplimiento; Señalado de la Real -manó ¡de S. M. == Én Palacio á 'dé Junio dé iSí^í^Á D. Josef María de1 ALlós¿” v, , h: CirculaT ¿oÍ Consejo. Real, , l&gt; ‘'j" r El Excmo. Sr. D. Juan Lozano de Torres, Secretario de Estado y del Despacho de Gracia y Justicia, comunicó al Consejo por medio del Excelen tísimo Sr. duque del Infantado, su presidente, con fecha 3…</t>
  </si>
  <si>
    <t>…buretes rasos, uno de ellos para que á su tiempo se sentase el Sr. ministro plenipotenciario á firmar las capitulaciones. Puesto en pie á la derecha de esta mesa el Exce lentísimo Sr. D. Josef María ríe Alós, del Consejo de Estado, secretario in terino de Estado y del Despacho universal de la Guerra y del de Marina, no tario público de los reinos, leyó en alta voz la escritura de los contratos ma trimoniales del Rey nuestro Señor, alumbrándole un ayuda d…</t>
  </si>
  <si>
    <t>Máría, Josef</t>
  </si>
  <si>
    <t>Josef Máría</t>
  </si>
  <si>
    <t>…alle, sargento:mayor del batallón de ibfantería Príncipe Fernandor él de Zamboanga á-D. Mateo Lambeá , capitán de'granaderos del regimiento dei: Rey ^y é!";de;ías;islas Marianas á D. Josef Máría dél Yeíró, capitán de iá-; fahtería y del regimiento provincial de Sevilla. ... t. ’ I^os - terremotos que. por Marzo de 18i7.se sintieron .en y arias .pactes de' España, causaron notable, trastorno en la emanápion, ‘ curso y asiento, dejas-cé lebres,.aguas,…</t>
  </si>
  <si>
    <t>…j^valcalde del Crimen en Zaragoza; D. Ñicólás de Campos, asesor ae"correos en taHavana; D. Jo sef Parada, secretario de ^rrtbajkda; ehD: ^M'atías AgüiiáfV pirésbítero de Tenerife; D. Josef María, Borras, maesj^arit^de Valencia; D. Anto nio Capetillo, administrador dé Correos dé * Valencia; D. Gregorio Joa quín Piquer, canónigo de Valencia, yrector desaquella* universidad; marques de Ca&lt;a-Calderon &gt; alcalde dei Crimen en Lima; D. Antonio Picardo, Veci…</t>
  </si>
  <si>
    <t>María, Juan</t>
  </si>
  <si>
    <t>Juan María</t>
  </si>
  <si>
    <t>…sentaron los ocho alumnos mas so bresalientes de la cátedra, que fderori DJBefiito Ferrandez, D. Santiago Te jada, D. Ange{ Valero Sardi, D. Pedro Gudál, D. Pedro Antonio Pallete, D. Juan María, BiecyD. Pedro Nogues Secall, y D. Anacleto Toron y Dolz. El catedrático del establecimiento D. Agustín Alcaide dio principio al acto, manifestando la necesidad del estudió de la economía, de que tan penetrada se hallaba la Real sociedad aragonesa , pudiendo…</t>
  </si>
  <si>
    <t>María, Manuel</t>
  </si>
  <si>
    <t>Manuel María</t>
  </si>
  <si>
    <t>…del Olmo para la de lengua francesa, D. Francisco Ferraud para la de lengua inglesa, y D. Anselmo Alfonso para la de dibujo Habiendo tomado asientos, el señor prior del consulado D. Manuel María ^de Aldecoa anunció el objeto de aquel acto tan solemne como tierno por un breve discurso; y el profesor de matemáticas leyó en seguida la oración inau gural ,en laque se propuso demostrar la utilidad que debía resultar al co mercio de los preciosos conocimie…</t>
  </si>
  <si>
    <t>María, Pedro</t>
  </si>
  <si>
    <t>Pedro María</t>
  </si>
  <si>
    <t>…eniente^ coronel en el , ( . &gt; eo t . /batallón de Barinas'donde sirve. :&gt; 1y Milicias de pardos de Valencia. Capitanes. D. Ramón Hidalgo, Don Casimiro Colon, D Fermín Pajdrázá, y D. Pedro María. ; Tenientes. D. Hilario Noguéras v D. Antonio Rodríguez y D. Josef Ama dor han sido confinmados en sus enipléos * y obtenido 1¿ nobleza personal.^ ■ - Capitanes de las guerrillas de Barinas. ‘ ©.'Francisco Xavier Palmero; Fue confirmado'cn su empleo con la n…</t>
  </si>
  <si>
    <t>María, Rosa</t>
  </si>
  <si>
    <t>Rosa María</t>
  </si>
  <si>
    <t>…D. A. del M. y; ¡Puente 60. Núm. 26,1. D.P. S. de L, jo..;Núm. 262. D. A. M. 2®. Núm. 263. Doii S. S. 1®. N«m.. 264. D, ¡Sebastian Flores 200. Núm. 265. Doña .A. R. 60.. Núm. 266, Doña Rosa María de las Higueras 60. Núm. 267. D. N. 1.0. Núm. 268.; El. coxwento:de dommicos de la Pasión de esta corte 320, Núme ro 269. El fielato dejtepaudacioa de^derechos de puertas en la Real.de Ato cha de; esta corte aco.- Ñúm. 279. F. L O. 40. Núm. 271- los Sres.^N-B…</t>
  </si>
  <si>
    <t>MaríaVindel</t>
  </si>
  <si>
    <t>…ebia de N. 20. Núm. 175. Doña Isabel Simón 40. Núm. 176. D. Juan Villena 40. Núm. 177. D. S. R. 300. Núm. 178. D. F. R. 30. Núm. 179. D. B. Y. 40. Núm. 180. D. P. F. 60. Núm. 181. Doña MaríaVindel, viu da, 20. Núm. 182. D. Miguel Carrera 20. Núm. 183. D. N., feligrés de San Andrés, 100. Núm. 184. D. N. 4. Núm. 185. Ei Sr. D. Josef Borbujo y Rivas, inquisidor de Toledo, en una letra dirigida por el correo al deposita-rio de.la suscripción, y cobrada por…</t>
  </si>
  <si>
    <t>MaríaXuisa</t>
  </si>
  <si>
    <t>…ente se dignó también S. M. comunicar al ayuntamiento el fallecimiento de sus augustos Reyes Padres, se celebraron Reales exequias en la propia iglesia de S. Pedro las de la Reina Doña MaríaXuisa en los ,dias ii y 12 de Febrero, siendo el panegirista de sus relevantes prendas el M. R. P. Fr. Jacinto de Obon, del orden de Capuchinos; y las del Sr. Rey D. Carlos iv en los días 16 y 17 de Marzo, cuyo elogio fúnebre dijo el Dr. Carlos Láborda, canónigo ma…</t>
  </si>
  <si>
    <t>Marín, Francisca</t>
  </si>
  <si>
    <t>Francisca Marín</t>
  </si>
  <si>
    <t>…ef Antonio Micheo, cierta cantidad de pesos, para que en re presentación del Dr. D. Josef León Lobo Guerrero, doctoral de la santa iglesia de .Monterey, la entregue á los hijos de Doña Francisca Marín, casada que fue con Don Manuel García Puente en la villa de. Tamaron; á los hijos de Doña Gabriela Ma rín, casada con D. Gaspar de Navas Márañon en la villa'1 de Celada deí Camino; í IX Melchor Marín y á D. Miguel Marín, asi bien como á los hijos respectivos…</t>
  </si>
  <si>
    <t>Marín, Francisco</t>
  </si>
  <si>
    <t>Francisco Marín</t>
  </si>
  <si>
    <t>…ef V idaurre, D. Rafael Rico, D. Celestino Arel lañó, D. Josef Jiménez, Don Juan Pedro Isr.si, D. Miguel Infante, D. Josef Aguirre, D&gt; Alonso Reina; D Josef Garci, D. Ramón Porta, D. Francisco Marín, D. Manuel Capace te , D. Josef Morales , D. Matías Michana, D. Gregorio de Casadevals, Don Miguel Fassia, D. Manuel Gómez, D. Miguel Reina y D. Manuel Rojas. - Valladolidá'S de Julio. • ! , n ;• / La Real sociedad económica de esta capital y provincia celebr…</t>
  </si>
  <si>
    <t>…ue de Híjar; marques de las Hormazas", consejero de Estado, y aí barón de Friesen, mi nistro de S. M. el, Rey de Saxonia en 'esta corte. " ■ Cruces de número de la misma orden. ,A D. Francisco Marín, del Consejo y Cámara de Castilla; D. Agustín Perales &gt; oficial deJá secretaría de Estado y del Despacho de Marina, y Don Josef Agustín Lobaton, capitán de navio de la Real Armada. . Supernumerarias. A D. Josef Nebot, comisario de Guerra; D. Benito Lápicdra,…</t>
  </si>
  <si>
    <t>Marín, Gregorio</t>
  </si>
  <si>
    <t>Gregorio Marín</t>
  </si>
  <si>
    <t>I2l8 ca, ioo. Núm. *¡16. D. Tomas Martínez de Ibarra 160. Núm. D. N. 2t&gt;. Núm. $18. D. N. 160. Núm. 519. El Dr. D. Gregorio Marín, ciirh de S. Justo de Madrid, 300. Núm. 520. D. N. 60. Núm. 521. El Sr.'cura;,dé S. Andrés de Madrid, por limosnas recibidas de tres feligreses , 60. Num. 522; IX.M. H. 20. Núm. 523. D. Santiago Larramendi 320 Núm. 524, El limo. $r. obispo de Salamanca 1500.…</t>
  </si>
  <si>
    <t>Marín, Jaime Herreros y</t>
  </si>
  <si>
    <t>Jaime Herreros y Marín</t>
  </si>
  <si>
    <t>…ondes plazuela de S» Xavier,, númv.4 , cuarto principal. ■ './ *,}- .. . , Curso completo de gramática parda sublime con las; reglas de su sintaxis propia )r elegante." Dala a.luz D. Jaime Herreros y Marín, C. R : un tomo en 8.° Véndese en la librería^b Cbiládb, calle déla:"Montera, ¿ 4? ts* 4 la rustica, y en Salamanca en cásá de D^Frtincis'tb Príeto de Torres1. ‘ ' Orígeh¿pQcas y progresos^ del teatro español desde la^ mas remota antigüen dad hasta él present…</t>
  </si>
  <si>
    <t>Marín, Juan Manuel</t>
  </si>
  <si>
    <t>Juan Manuel Marín</t>
  </si>
  <si>
    <t>…a.de la temprana muerte dé la Reina nuestra Señora Doña María Isabel pe Braganza , que llenó de consternación á todos;sus habitantes, ei alcalde de primer voto por el estado noble coronel D. Juan Manuel Marín propuso en aquel ayuntamiento que se hiciesen las mas solemnes exequias, á lo cual, se prestó desde luego esta corpo ración penetrada de los* mas vivos sentimientos y, j¡?ara disponer el lúgubre aparato dio comisión* al referido alcalde. Desde la víspera se e…</t>
  </si>
  <si>
    <t>Marín, Miguel</t>
  </si>
  <si>
    <t>Miguel Marín</t>
  </si>
  <si>
    <t>…Manuel García Puente en la villa de. Tamaron; á los hijos de Doña Gabriela Ma rín, casada con D. Gaspar de Navas Márañon en la villa'1 de Celada deí Camino; í IX Melchor Marín y á D. Miguel Marín, asi bien como á los hijos respectivos da estos dos últimos. Para evitar reclamaciones , y á fin de que los que se crean con de recho puedan ocurrir, se les señalá el plazo dé dos meses fijos, contados desde ijr 'de Agosto próximo pasado; previniendo que debe…</t>
  </si>
  <si>
    <t>Marín, Pedro</t>
  </si>
  <si>
    <t>Pedro Marín</t>
  </si>
  <si>
    <t>…el tomo 8.° y pagar el 9.0, que está en prensa, á la librería de Quirós, calle’;&lt;d'e Atocha,: en Santiago áj la de Rey Ro mero ; en Barcelona á la de Oliva; en Zaragoza, á casa de D. Pedro Marín, del comercio, y en Valencia á la de Navarro. Wáis tirolés con variaciones para guitarra sola de D. A. P. Zaragoza, á 12 tsí £= Tema con variaciones para guitarra sola desdicho autor, á 8.'= Obertura de da.Lódóuska para guitarra sola, á 8. nJema con variacion…</t>
  </si>
  <si>
    <t>Marin, Pedro</t>
  </si>
  <si>
    <t>Pedro Marin</t>
  </si>
  <si>
    <t>…a librería de Quirós, calle de Atocha, y en Cádiz á la de Zaragoza; en San tiago á la de Romero; en Barcelona á casa de D. Narciso Oliva, calle de la Platería; en Zaragoza á la de D. Pedro Marin, del comercio, y en Valencia á la librería de Navarro, advirtiendo que han de abonar los portes. ' Sermones predicados é impresos en la ciudad de Valencia por el Dr. D. Manuel Fortea y Ubeda, presbítero, y reimpresos ahora en Madrid. El del sepulcro de nuestr…</t>
  </si>
  <si>
    <t>…á pronto, á la librería de Quirós, calle de Atocha; en Cádiz en la de Zaragoza; éíf Santiago en la de. Rey y Romero; en Barcelona en casa de D. Narciso Oliva; en Zaragoza en la de D. Pedro Marin, del comercio, y eriValéndiá én la de D. Fran cisco Navarro. . • ■ : * £1 décimo trimestre de la suscripción á la Crónica científica y literaria concluye* el último dia del presente mes. Los .suscríptores que .quieratu continuar recibiendo puntualmente este p…</t>
  </si>
  <si>
    <t>…l 13 , que se dará pronto, á la librería de Quirós, calle de Atocha, y en Cádiz á la de Zara goza; en Santiago á la de Romero; en Barcelona á la de Oliva; en Zaragoza á la casa de D. Pedro Marín, del comercio, y en Valencia á la librería de Navar ro, siendo de cuenta de'los suscriptores el pagar el porte. Fábulas en verso castellano, compuestas por D. Ramón de Pisón y Várgas, mi nistro togado que fue del Real y supremo Consejo de la Guerra. La discre…</t>
  </si>
  <si>
    <t>Marina, Josef Santa</t>
  </si>
  <si>
    <t>Josef Santa Marina</t>
  </si>
  <si>
    <t>…, , „ - : &lt;■!: * ■ ' ■ , ■ í ’. ; ’ dé -Llano. Oficio del brigadier y comandante general D. Ciríaco „Éxcmo. Sr.: Acaba de llegar de la expedición de la barranca de Santa María el coronel D. Josef Santa Marina , habiendo, sido el resultado de ella el que, manifiesta su parte ¡que original acompaño á V. E. , á cuya superioridád recomiendo al expresado gefe.y- á los demás oficíales que'él mismo expresa, por el acierto y bizarría con que han desempeñado esta important…</t>
  </si>
  <si>
    <t>Marina, Víctor Josef</t>
  </si>
  <si>
    <t>Víctor Josef Marina</t>
  </si>
  <si>
    <t>…asado tuvo la honra de besar la mano á S. M. y felicitarle por su efectuado matrimonio el ayuntamiento de la imperial ciudad de Toledo, representado por sus comisionados Jos Sres. D. Víctor Josef Marina, caballero profeso de la orden militar de Alcántara, alguacil mayor del Sto. tribunal de la Inquisición , regidor perpetuo y decano de su limo, ayuntamiento, D. Ra món López Solórzano, también regidor perpetuo y alcalde ordinario de la misma , el .capitán D.…</t>
  </si>
  <si>
    <t>Marino, Melchor de Prado y</t>
  </si>
  <si>
    <t>Melchor de Prado y Marino</t>
  </si>
  <si>
    <t>294</t>
  </si>
  <si>
    <t>…n efecto se erigió en el centro de la. Real é insigne colegiata de Sta. María del Ganipoun magnífico catafalco de diferentes mármoles de España, dirigido por el arquitecto titular D. Melchor de Prado y Marino, en cuyo pedestal colocado sobre tres gradas se figuraba en una hermosa pintura la eternidad con una corona de oliva en la mano para colocarla sobre la cabeza de la Reina nuestra Señora, que dirigida por ia refulgente antorcha de la virtud se eleva ba en seña…</t>
  </si>
  <si>
    <t>Marj</t>
  </si>
  <si>
    <t>…a Serma. Señora ? nfanta Doña María Francisca, trabajados por D. Francisco Lacoma, pintor honorario de Cámara de S. M., y académico de mérito; y otros dos, uno de la difunta Reina Doña Marj a Isabel de Br aganza, y otro del Sermo. Sr. In fante D. Carlos Luis por el primer pintor de Cámara D. Vicente López. En otra de las salas había expuestas dos pinturas que en punto menor representa ban la resurrección y la coronación de espinas de nuestro Señ…</t>
  </si>
  <si>
    <t>Marmont</t>
  </si>
  <si>
    <t>…llería de las milicias ( Iandwerh) en el gran ducado prusiano del Bajo-Rhin. , El día 8 del corriente pasó por la ciudad de Stuttgardt en toda diligen cia con dirección á Viena el mariscal Marmont duque de Ragusa y se cree que va encargado de una comisión particular sobre un asunto político de alta importancia.</t>
  </si>
  <si>
    <t>1024</t>
  </si>
  <si>
    <t>…Federico de Orange. El Emperador ha nombrado consejero íntimo actual al barón de Lebzeitern, su ministro plenipotenciario en la corte de Rusia. Anteayer llegó aqui desde París el mariscal Marmont. BAVIERA. Munich 15 de Setiembre. El Rey ha dirigido á la regencia del círculo del Bajo-Mein un edicto que dice asi: ,, Vuestros informes de 12 y 30 de Agosto nos han convencido de qué to davía reina por desgracia en el círculo que está confiado á vuestro gob…</t>
  </si>
  <si>
    <t>…l. Se depositó el cadáver en la iglesia, y se dio fin á esta lúgubre cere monia con unas cortas oraciones. AUSTRIA. Viena t6 de Setiembre. El sábado último llegó á esta capital el mariscal Marmont: aunque al pronto causó alguna sensación su venida, ya nadie duda de que solamente viene á asuntos propios, y en particular á la cobranza de las rentas atrasadas de la pensión que tenia en Iliria. Idem 2 r. Es voz pública que el Príncipe de Metternich ha escr…</t>
  </si>
  <si>
    <t>Maroto, P. Rafael</t>
  </si>
  <si>
    <t>P. Rafael Maroto</t>
  </si>
  <si>
    <t>…n , y ser interesantes por haber varios individuos comprendidos en ellos,. Dios guar de 4-V. S. muchos años. Quilaquila 7 de Agosto de 1818. — Francisco de Qstria. =Sr. presidente brigadier P. Rafael Maroto.” S. Felipe de Xátiva 3 de Junio. '. » : ! La Serma. Sra. Infanta Doña Luisa Carlota llegó, á esta ciudad el 31 de Mayo ultimo. Una diputación, compuesta del alcalde mayojr y corregidor interino D. Joaquín de la Escalera, de dos regidores, un diputado, el sín…</t>
  </si>
  <si>
    <t>Maroto, Rafael</t>
  </si>
  <si>
    <t>Rafael Maroto</t>
  </si>
  <si>
    <t>…nciones de «apellan, y cuyos conocimientos prácticos del terreno me han servido de mucho. Dios guarde á V- S. muchos años. Mojocoya 22 de Mayo dé 1818. ^Baldomcro Espartero. = Sr. brigadier D. Rafael Maroto, presidente gober nador de la Plata.” (Secontinuaránlosj) artes.) ' ; j Idem 20 de Noviembre, * v . ’ _ REAL BE Mí ÑAS DE PASCO. Se han recibido en esta superioridad noticias oficiales muy satisfactorias! del lisonjero aspecto que presentan aquellas minas. La…</t>
  </si>
  <si>
    <t>6oo to y previsión con que ha sabido V. S. dísponeila. Dios guarde á V. S: mu chos años. Terrado 4 de Setiembre de 1818. = Josef Santos de la Hera.r= Se ñor brigadier D. Rafael Maroto, presidente y comandante general de la pro vincia de Charcas.” Makon 20 de Maye. J51 dia último del mes jasado existían incomunicados en este puerto los . buques siguientes: i,.° Falucho Tres Hermanos, patrón Agustín Marche maso, ingles, de Tánger, con bacala…</t>
  </si>
  <si>
    <t>Marques, Josef García</t>
  </si>
  <si>
    <t>Josef García Marques</t>
  </si>
  <si>
    <t>…sideren con derecho á los bienes , caudal y efectos que han quedado por muerte intestada, acaecida en 27 de Enero último, de Dona María Josefa Rodríguez Somozas ^ muger que fue de D. Josef García Marques, á fia de que dentro del término preciso y perentorio de 20 dias, contados desde dicho dia, comparezcan ante el referido señor juez y por la escribanía del número de D. Miguel Gonzalo, por sí ó por medio de procurador, con poder bastante, á decir y expo liar…</t>
  </si>
  <si>
    <t>Marqües, Raimundo</t>
  </si>
  <si>
    <t>Raimundo Marqües</t>
  </si>
  <si>
    <t>…obtuvo la medalla de oro y la nobleza personal. Escuadrones del Rey. D. Raimundo Flores. Se le confirmó en su empleo, y se le concedió el Don personal. Campo -volante de Orituco. D. Raimundo Marqües. Fue confirmado en su empleo de capítan, y se le concedió el Don personal. D. Manuel Ramírez. Confirmación de capitán; Don personal, y medalla de oro. Escuadrones del Rey. D. Juan Basilio Castillo,naturalde GuardatinaJas. Confirmado de capitán; Don personal,…</t>
  </si>
  <si>
    <t>Marquezy, Antonio</t>
  </si>
  <si>
    <t>Antonio Marquezy</t>
  </si>
  <si>
    <t>…es que fueron con lós pique tes que compusieron la partida, y porque todos se manejaron á mi satisfac ción, los recomiendo á V. S. individualmente. „ También recomiendo á V. S. al teniente D. Antonio Marquezy de: Lo bera, y al alférez de dragones de Moneada D. Miguel Rojaho, que égerCeii funciones de ayudantes de la división, pues ia actividad.que han tenidosiempre , y la que observaron el dia de la acción es digna de especial elogio, por lo que- los he nombrado c…</t>
  </si>
  <si>
    <t>Marrinez, Ignacio</t>
  </si>
  <si>
    <t>Ignacio Marrinez</t>
  </si>
  <si>
    <t>1269</t>
  </si>
  <si>
    <t>…depar-, lamentos** ESPAÑA. 3f¿drid io de 'Diciembre. El 28 del pasado tuvieron íla honra de felicitar á S. M. por su Augusto en lace el Excioo. Sr. duque de Veragua y el ílmo. Sr, D. Ignacio Marrinez dé Villeía, del Consejo y Cámara de Castilla.; el primero de los cuales dijo .lo siguitntet . .</t>
  </si>
  <si>
    <t>Marrón, Juan</t>
  </si>
  <si>
    <t>Juan Marrón</t>
  </si>
  <si>
    <t>…tcuaro con objeto de perseguir las gavillas de rebeldes del rumbo de Turicato, ponerme en comunicación con el coronel D. Josef Gabriel de Armijo , y comandante de Huetamo teniente coronel D. Juan Marrón, y extraer algún ganado para ayuda del, pago de la tropa. El ifi lie-? gué al citado pueblo, y en sus i n mediad oríes aprehendió una partida de mi caballería que mandaba el capitán graduado Üe mi cuerpo D. Estébari Motezuma al mal español Silvestre Tarrasido…</t>
  </si>
  <si>
    <t>Marrón, Juan Isidro de</t>
  </si>
  <si>
    <t>Juan Isidro de Marrón</t>
  </si>
  <si>
    <t>7 3** Del coronel y comandante general del rumbo del Sur D. Josef Gabriel de Armijo. ,,Excmo. Sr.: El teniente coronel D. Juan Isidro de Marrón, coman dante de las tropas que operan de Cuaulotitlan á S. Juan Huetamo, me dice en oficio de 9 del presente que una partida de 60 dragones, que puso á las órdenes del teniente coronel graduado de realistas de este pueblo D. Tomas Díaz, reforzada con 20 paisa…</t>
  </si>
  <si>
    <t>Marroquin, Hamet Benali</t>
  </si>
  <si>
    <t>Hamet Benali Marroquin</t>
  </si>
  <si>
    <t>…presente mes, ha deliberado hacer notoria uña relación exacta de este suceso en la forma siguientes. _■ • &lt; , El día 6 del corriente fondeo en Cala-Taulera la Lombarda Masauda, su capitán Hamet Benali Marroquin, en lastre, y con 29 pásageros hebreos procedentes de Argel eq nueve dias de navegación , en cuya capital morían del mal de peste de 2,5 á.,30 personas; cadaudia , á tenor de lo expresado en su patente sanitaria. El 7 se desembarcaron los pasagenos en Cala-Ta…</t>
  </si>
  <si>
    <t>Marru, Bernardíno</t>
  </si>
  <si>
    <t>Bernardíno Marru</t>
  </si>
  <si>
    <t>…n Romero, D. Antonio Medinilla, D. Juan Meáha y D. Francisco Bragne. En la cuarta y última D. Federico Rodríguez Campo, D. Josef Maurelles, P. Sebastian Ximenez, D. Josef Alvarez, D. Bernardíno Marru^mñ .y D. Luis" Alvarez. ... . Sanhícar d^ Bárrame da 24 de Mayo, En Diciemjbre.del año últiipo" se, celebraron en esta ciudad exámenes pú blicos de primeras letras, bajo la dirección del maestro D. Francisco Ren den. Presidió el acto el mariscal de campo D. C…</t>
  </si>
  <si>
    <t>Martí, Ramón Vidal y</t>
  </si>
  <si>
    <t>Ramón Vidal y Martí</t>
  </si>
  <si>
    <t>…cita-» llama y. emplaza por'tercero y último ,^érV mirló de 10. días, contados' desde la publicación.de este anuncio, á D- ^uáh 'Angel-, de( Arahburu, a los Sres. Rülli y Goíl, á D. Ramón Vidal y Martí1 v. £&gt;• Pedro ' Martin dé Iriarte, 61 timos tenedores de cuatro vales Reales, unos de 15^0' pesos de'" Ünero de 1808 ; números 239,778 y 304,401 &gt;-y los Otros dos de 300 pesos de Ma yo de í 808, números 435,4-73 y 452,215, los que se hallan retenidos por recl…</t>
  </si>
  <si>
    <t>Martín</t>
  </si>
  <si>
    <t>…'.',.' En virtud de providenci~ del Sr. D. Manuel Josef Rubio, del Consejo de S.M., : teniente' corregidór-de .. esta muy heroica viHa'; 'refrendada' dél escribano' de su número ·D. Martín, Santin y Vazquez 9.,se ,sacan-,á. pública s.ubasta por término ·de-30: :.dias, para iuventa á .censo.reservativo redit:nil&gt;Le con .liépitp; 4~3r;pOr., tb~ anuaL ~9P.~-· ñ.ac;¡enciud~d de MáJaga, 'COm pu~sta~· df1 ~asas, )agares, basijas:" vi ~aS, c:.las en t…</t>
  </si>
  <si>
    <t>Martin</t>
  </si>
  <si>
    <t>…por el segundo «di rector; y fueron adjudicados en latinidad á T&gt;. francisco Herrador, D. Redro •Pascual Anguita, D. Antonio Martinezj í). Antohio dé Toares, D. Antonio Castillo , D. Martin deTJbéda, D. Rafael de Almagró, D¿ Ramón de Óríiz, D. Josef Cañada, D. Sacerdote Aguilar, D. Agustín de Ortega, D. Pedro Panas y Di Josef Guerrero por'la instrucción y adelantamientos de cada uno de ¿estos alumnos en la parte que profesan ,'y énseñañká que re…</t>
  </si>
  <si>
    <t>…acción. En virtud de providencia del Sr. D. Manuel- J osef Rubio, de! Consejo dé S. Af. v teniente corregidor'de■ está muy heroica,villa, refrendada por el escribano dé su mjñicro D. Martin y' Vazqruéz ;.rse ‘saca á.póblicá subasta uná casa "en está corte, y su cálliedé Buenavistá“i Séiíáladá cdn el riiirn* 9 de fa.rtíañz. 33,.'que consta de 2746 pies y cuarto de’sitio;cuádradcis'stipefficiáles , y está tasada en 82,410 rs. Quien' quisiere hacef…</t>
  </si>
  <si>
    <t>…líadolid, Palencia y Baena. Lo que se hace saber al público para su gobierno. A instancia de los acreedores de Matías Alonso, vecino de esta corte , y en virtud de providencia del Sr. D. Martin dé Gaztañaga, del Consejo de S, M., su alcalde dé Casa y Corte, refrendada del escribano de provincia y comisiones de la misma Don Manuel López deRivas, se han mandacfó sacar á publica subasta, por término dé 15 dias, contados desde 30.de Octubre próximo pasa…</t>
  </si>
  <si>
    <t>Martin, Dqá Ramón de S.</t>
  </si>
  <si>
    <t>Dqá Ramón de S. Martin</t>
  </si>
  <si>
    <t>…itán de navio D. JOan Bautista Bálsamo; quien en ella los condujo al puerto de Alicante, donde desembarcados en 25, del mes de Agosto próximo pasado fueron recibidos por el Excmo. Sr. Dqá Ramón de S. Martin, marques de S. Martin, caballero de ia insigne órdeil del Toison de Oro, gran cruz de la de Carlos ni, y de la de S. Fernando y del Mérito de las Dos Sicilias, comendador en la de Santiago, teniente ge neral de los Reales egércitos, gentilhombre de Cámara de…</t>
  </si>
  <si>
    <t>Martin, Manuel</t>
  </si>
  <si>
    <t>Manuel Martin</t>
  </si>
  <si>
    <t>…ta misa, el ofrecimiento del santo rosario, trisagio y gozos .de..la Santísima Tri nidad , dolores y gozos de S. Josef, y responsorio de S. Aptonio; recopilado de ríos autores por D. Manuel Martin: un tomo en octavo de letra .gruesa . adornado,ion 28 estampas finas. Se hallará en la librería, de Hurtado, calle de las Carretas, y en el puesto de Sánchez, calle de Atocha, esquina á la de la Concepción Gerónima; su precio éri'tafilete á 38 rs., en pasta f…</t>
  </si>
  <si>
    <t>Martin, Matías</t>
  </si>
  <si>
    <t>Matías Martin</t>
  </si>
  <si>
    <t>…n. ,,Dios guarde á V. S. muchos años. S. Felipe 17 de Mayo de 1818.= Gregorio de Arana=Sr. brigadier D. Manuel María de Torres^” 2.0 Del coronel y comandante general de Valladolíd D. Matías Martin, y Aguirre. „ Excmo. Sr.: El comandante militar de Pátzcuaro teniente coronel Don Juan Amador me dice con fecha 13 del corriente que el de igual clase Don Miguel Barragan en su élíima correría al oriente de su línea logró alguna» ventajas, y entre ellas lá pr…</t>
  </si>
  <si>
    <t>…" ;J i; ' . . ~‘; ’ • • . . '/. ■" ■ • -5 ■; r México £ de Junio* : Continuación de los partes de Nueva-iZspaña. * " . ’ v°b VALLADOLÍD. • i. * ' ’ Oficio del coronel « comandante general D. Matías Martin v Aguirre. ,,Excmo. Sr.: En esta provincia de mi cargo han ocurrido en la presente semana las novedades siguientes: Et«capitán'dé mi accidental cargo D. Agus tín Francisqp de JSlorza aprehendió tres rebeldes montados y armados en las inmediaciones de esta ciu…</t>
  </si>
  <si>
    <t>Martín, San</t>
  </si>
  <si>
    <t>San Martín</t>
  </si>
  <si>
    <t>…no estuviesen contestes, y sí la gaceta en que se da cuenta del hecho no fuese- el testimonio mas* aménpcp de I» verdad de este fatal y ijfuñca* oido, suceso. , . ,, POr orden del general San Martín,'sugéto 4 quien miré en algún: tierna po como 4 las esperanzas de mi patria, como á un nuevo Washingtonv se reunieron-en; la punta de¡,S. Luis? Íqs oficiales de-mas viso y graduación dé cuantos hicimos prisioneros en la batalla de Maypú. Fueron agasajados-...…</t>
  </si>
  <si>
    <t>Martin.de</t>
  </si>
  <si>
    <t>…61 r ' oetiempre*,•’ 1* * • • En virtud de providencia del Sr. D. Joaquín Al mazan y Jjménpy del ¡Consejó de S. M., su alcalde de Casa y Corte, que en ausencia de su compañero’el Sr. Don Martin.de,Gaztanaga,despacha su. audiencia, rerrendada^del escribam^ JJ&amp;xh&amp;V* y comisiones de la misma D. Manuel López de Rivas, y á voluntad de sus dueños, 1. i * i. '■ -**. . , •»i '' 1</t>
  </si>
  <si>
    <t>Martine, Bartolomé</t>
  </si>
  <si>
    <t>Bartolomé Martine</t>
  </si>
  <si>
    <t>…o por un discurso alusivo al objeto , que teyó el primer maestro director D. Cayetano Fernandez Villamil. Fueron examinados en aritmética D. Juan Josef Dayovich , D. Angel Urzaiz, D. Bartolomé Martine?, D. Juan Antonio Novo, D. Alejandro Rodríguez , D. Francisco Santos, D. Francisco Calderón y D. Antonio Blanco. E11 geometría elemental el dicho D. Bartolomé Martínez, D. Manuel Barbet, D. Mañuél Díaz,'O. Ramón Pepn , D. Josef Rodríguez Romero y EX Fermín Pe…</t>
  </si>
  <si>
    <t>Martínez, Agústin</t>
  </si>
  <si>
    <t>Agústin Martínez</t>
  </si>
  <si>
    <t>…xequias se hiciesen con la mayor magnificencia, y asi se verificó, correspondierido estos comisionados á la confianza que se les había dispensado, y puestos de acuerdo con el Lie. D. Agústin Martínez, dignidad de prior, y el Dr. Don Manuel Ramón Herrero', canónigo doctoral de la iglesia colegial, y diputado de su, venerable cabildo, señalaron ios días 21 y 22 para su celebración. A las tres de la tarde del primero pasó pracesionalmente el deán con su cabi…</t>
  </si>
  <si>
    <t>Martinez, Antonio</t>
  </si>
  <si>
    <t>Antonio Martinez</t>
  </si>
  <si>
    <t>…8.°; su precio 7 francos. ESPAÑA. México 20 de Junio. Continuación de los partes de Nueva-España. ,, El Excmo. Sr. virey ha recibido aviso del gobernador de la provincia de Tejas coronel D. Antonio Martinez, con fecha 6 de Marzo último, de haber ajustado la paz con la nación Tancahue. ,, Igualmente con la de 14 de Mayo próximo pasado ha participado á S. E. el comandante general d&lt; las provincias internas occidentales la cele brada con los indios tiburones y tepo…</t>
  </si>
  <si>
    <t>Martínez, Bartolomé</t>
  </si>
  <si>
    <t>Bartolomé Martínez</t>
  </si>
  <si>
    <t>…ngel Urzaiz, D. Bartolomé Martine?, D. Juan Antonio Novo, D. Alejandro Rodríguez , D. Francisco Santos, D. Francisco Calderón y D. Antonio Blanco. E11 geometría elemental el dicho D. Bartolomé Martínez, D. Manuel Barbet, D. Mañuél Díaz,'O. Ramón Pepn , D. Josef Rodríguez Romero y EX Fermín Pedregal. En geometría prác tica el referido Barbet, D. Joaquín y D. Luis Ciavareza, D. Fermín Galceran, D. Florencio Pereira/D. Manuel Rodrigpez Almeida, D. Vicente Rey,…</t>
  </si>
  <si>
    <t>Martínez, Francisco</t>
  </si>
  <si>
    <t>Francisco Martínez</t>
  </si>
  <si>
    <t>…e en: el. gobierno tíe ;este :ramo^' anuncia al público la vacante de la plaza de médico director del establecimien to de Naval-Pino en la provincia dé Toledo , por traslación del profesor Don Francisco Martínez qye la obtenía á la d$&gt; J$ej*ir ¡en ,el partido de Salamanca. Este desti' o ha de proveerse por rigurosa oposición, y su sueldo fijo es el de 8$ rs. anuales, pagaderos del sobrante de los caudales de propios y €lbitrios de la provincia á que pertenecen, sin p…</t>
  </si>
  <si>
    <t>Martínez, Joaquina</t>
  </si>
  <si>
    <t>Joaquina Martínez</t>
  </si>
  <si>
    <t>…100 rs. á Andrés García Casielles', oficial de obra prima, porque acreditó su buena conducta y aplicación al trabajo to dos los dias del año, con inclusión de los lunes: 400 rs. á Doña Joaquina Martínez, vecina del puerto de Cudillero * por haber elaborado una pieza de &amp;4 Varas de lienzo blanqueado después de tejido: 500 rs. á Juan Marques Con dado, vecino del mismo puerto, por haber beneficiado 49 quintales de con grio de la mejor calidad : igual premio á D…</t>
  </si>
  <si>
    <t>Martínez, Josef</t>
  </si>
  <si>
    <t>Josef Martínez</t>
  </si>
  <si>
    <t>…viles. . . . ,,Excmo. Sr.: Paso á las superiores manos de V. E. el parte que Je ofre cí en mi oficio núm. 30 de la acción que el capitán del batallón dél Sur gra duado de teniente coronel D. Josef Martínez tuvo el diá 31 del pasado ¡con tra los rebeldes, contrayéndome á que encuentro arregladas'sus recomenda ciones. , ’ Dios guarde á V. E. muchos años. Ajuchitlan Noviembre 19 de i8r§! = Exorno. Sr.=r Francisco Fernandez de Avilés. =: Exornó. Sr. virey D. jua!n…</t>
  </si>
  <si>
    <t>…el; D. Josef Aloy , ídem; D. Ignacio Chacón, teniente de navio; D, Josef María Cucalón , capitán ; D. PedroGonzalez y Vázquez, tesorero administrador de tabacos que fue deCumaná ; Don Josef Martínez, coronel agregado al regimiento de Zaragoza; D.Pedro Perez S. Julián , comandante del primer batallón de Zaragoza; D. Bernardo Vergara, capitán,, ayudante del general Lignan; D. Manuel Alvarez, capitán delTetúmíento 'deZaragoza; D.Manuel Lara, teniente de ide…</t>
  </si>
  <si>
    <t>…circulado la Real orden siguiente: ,,Con motivo de haber nombrado el Rey nuestro Señor , á consulta-de la Cámara de Indias, asesor de la capitanía general del reino de Goatemala á D. Josef Martínez de la Pedrera , y solicitándose paráét agraciado el título auditor de Guerra,,S. M., conformándóséícon lo que le liaexpúesto'sót-jhre: el particular la Cámara de Guerra, se-ha servido resolver lo siguiente: 1,° Quedando, en su fuerza y vigor el artículo 5 .0…</t>
  </si>
  <si>
    <t>…dos para los segundos; en esta forma, colocados * en asientos de distinción fuera del circo de los'señores catedráticos los discí pulos el latino D. Juan Castelló y el romancista D. Josef Martínez, agracia dos con los sobredichos premios, se leyó públicamente la Real orden de 24 de Julio último, por la que el Re y nuestro Señor, en vista de Jas censuras hechas por- el mismo colegio dé los opositores á ellos ,, se dignó conceder el ^perteneciente á los,…</t>
  </si>
  <si>
    <t>Martínez, Josef Manuel</t>
  </si>
  <si>
    <t>Josef Manuel Martínez</t>
  </si>
  <si>
    <t>…ntos matemáticos del profesor Schuhmacker para medir el meridiano. ' * ' ESPAÑA. México 28 de Febrero* El Exenta. Sr.yirey ha recibido el siguiente oficio del.gobernador tenien te coronel D. Josef Manuel Martínez. ,, Eterno. Sr.: Según lo que expuse y prometí á V. E. en mi oficio nú mero 33 del día de ayer, elevo á sus manos, para su debido superior cono cimiento , el adjunto parte original que me ha pasado él teniente coronel gra duado D. Manuel Francisco Casanova ,…</t>
  </si>
  <si>
    <t>Martínez, Josef María</t>
  </si>
  <si>
    <t>Josef María Martínez</t>
  </si>
  <si>
    <t>…nó. Sr. virey D. jua!n Ruiz de Apodaca.” Parte del teniente coronel JD. Josef Joaquín de Herrera.. „ Acompaño á vmd., el parte original que me ha dado el teniente coronel graduado D. Josef María Martínez, relativo al encuentro que tuvo ccn el re belde Guerrero, Montesdeoca y otros en el reconocimiento que verificó d 31 dé Octubre último. ,, Dios guarde á vmd. muchos años. Ajuchitlan Noviembre 17 de 1818= Josef. Joaquín de Herrera. r±Sf, teniente coronel y com…</t>
  </si>
  <si>
    <t>5í6 Parte del teniente coronel D. Josef María Martínez. ,,.E1' día de gyer, á hora que serían las cuatro de la tarde, tuve noticia por uno de mis espías que los rebeldes se hallaban en número de 20 por la ha cienda d„e S. Jos.ef del Pilón; determine al momento salir con 50 dragones de Ja Reina Isabel á reconocerl…</t>
  </si>
  <si>
    <t>Martínez, Josefa</t>
  </si>
  <si>
    <t>Josefa Martínez</t>
  </si>
  <si>
    <t>…ero 12. Doña N., viuda, 20. Núm. 13. D. N. 100. Núm: i4. D. N. 20. Nú mero 15. Doña Feliciana de Arza 120. Núm. 16. El brigadier Beza óo. Núme ro 17. D. Pablo Cabrero* y su esposa Doña Josefa Martínez 1300. Núm. ig. D. N. 60. Núm. 19. D. N. 40. Núm. 20. D. J. M. 160. Núm. 21. D. A. G. 2©. Núm. 22. D. N. 300. Núm. 23. D, N. 4. Núm'. 24. D. Custodio Alcaldeun vale Real de 150 pesos. Núm. 25. D. N. 100. Núm. 26. Doña N. 20. Núme ro 27. D. D. B . 100. Núm. 28.…</t>
  </si>
  <si>
    <t>Martínez, Lucía</t>
  </si>
  <si>
    <t>Lucía Martínez</t>
  </si>
  <si>
    <t>…Vaklomeio Moraleda, se cita , llama y emplaza por segunda vez á todas y cua. lesquier personas que sé crean,con derecho á los bienes quedados por el fallecimien to abintestato de Doña Lucía Martínez, acaecido en esta corte en 8 de Abril del año de 1818,y según noticia parece era natural dé Cartagena de levante, para que en el preciso término de 30 dias se presenten por sí p por medio de procurador, con po der bastante, en el juzgado de dicho señor y cita…</t>
  </si>
  <si>
    <t>Martinez, Manuel</t>
  </si>
  <si>
    <t>Manuel Martinez</t>
  </si>
  <si>
    <t>…re sta río de dicho establecimiento académico D. Josef García Arteche , y per el orden de las respectivas censurasj á saber: en la clase de gramática latina li bros facultativos á D. Manuel Martinez, D. Servando Aíarañon, D. Cristó bal Rubio, D. Celso PJanzon ,SD. Fernando Perez de Rozas y Campuzano y D. Domingo Díaz: en la de matemáticas puras medallas acuñadas á pro pósito á D. Santiago Cocolina, y al cadete de artillería D. Pedro OJano: en da de dibuj…</t>
  </si>
  <si>
    <t>Martínez, Pedro López</t>
  </si>
  <si>
    <t>Pedro López Martínez</t>
  </si>
  <si>
    <t>…e la publicación de este anuncio, que se admitirán la's pos turas que hicieren siendo arregladas. Para la junta de acreedores de ios bienes que pertenecían á las testamentarías de D. Pedro López Martínez y Doña Paula Feliciana de Arenzana, su muger, ha seña^ lado el Sr. D. Manuel Josef Rubio, delC¡onsejo-de S¿ M.,; teniente corregidor de esta muy heroica villa, el día 2 de Agosto próximo, á las nueve de su mañana, en su posada, lo que se hace saber á dichos acreedores para que conc…</t>
  </si>
  <si>
    <t>Martínez, Vicente</t>
  </si>
  <si>
    <t>Vicente Martínez</t>
  </si>
  <si>
    <t>…terps, fiscal del Consejo supremo de Ha cienda; D. Luis de Peñalvervecino.de la Havana; D. Domingo Surga, se gundo teniente del primer regimiento de Reales guardias de infantería; Don Vicente Martínez, primer médico de Cámara; Di Ignacio Moreno, tesorero . dé egército honorario , y director presidente de la Real compañía del Guadal%quivir; D. Pedro Joaquín de Murcia, ma^strante de Sevilla, vecino de Ecija; D. Josff Joaquín Perez, ■ canónigo doctoral de la…</t>
  </si>
  <si>
    <t>1270</t>
  </si>
  <si>
    <t>…or y gloria de sus pueblos.” El día 4 de este mes tuvo la honra de felicitar á SS. MM. por su augusto enlace, á nombre de la Real sociedad de Medicina y otras ciencias de Sevilla, D. Vicente Martínez, primer médico de Cámara de SS. MM. y AA. RR,, presidente perpetuo de la misma Real sociedad; quien dirigió á S. M. el dis curso siguiente: Señor: ,, Vuestra Real academia de Medicina de Sevilla, que tengo el honor de presidir, ha diferido hasta este día el e…</t>
  </si>
  <si>
    <t>Martinezj, Antonio</t>
  </si>
  <si>
    <t>Antonio Martinezj</t>
  </si>
  <si>
    <t>…a de la memoria se procedió á publicar y distribuí t Ibs preinios por el segundo «di rector; y fueron adjudicados en latinidad á T&gt;. francisco Herrador, D. Redro •Pascual Anguita, D. Antonio Martinezj í). Antohio dé Toares, D. Antonio Castillo , D. Martin deTJbéda, D. Rafael de Almagró, D¿ Ramón de Óríiz, D. Josef Cañada, D. Sacerdote Aguilar, D. Agustín de Ortega, D. Pedro Panas y Di Josef Guerrero por'la instrucción y adelantamientos de cada uno de ¿esto…</t>
  </si>
  <si>
    <t>Martínez’Alvarez, Miguel</t>
  </si>
  <si>
    <t>Miguel Martínez’Alvarez</t>
  </si>
  <si>
    <t>…ncoso y Bueno.Jipencía para usar .de la condecoración de la flor de Lis con que ha pdo agraciado por S.M...Cristianísima. ,¡ Asimismo se ha servidoS. M. conceder su Real permiso á D. Miguel Martínez’Alvarez para poder usar de la referida condecoración dé la flor de Lis con que también ha sido agraciado por S. M. Cristianísima. -Por Real resolución ,1 consulta déb Consejo, se ha servido S. M. conce der la correspondiente facultad :af lugar1’de Ainiarza, de la jur…</t>
  </si>
  <si>
    <t>Maruri, Eugenio Francisco de</t>
  </si>
  <si>
    <t>Eugenio Francisco de Maruri</t>
  </si>
  <si>
    <t>…andro; en Burgos en la de Villanueva y Her vías; en Valladolid en la de Santander; en León en la de González Candanedo; en Soria en la de Perez Rioja, y en Bilbao en la escuela de D. Eugenio Francisco de Maruri. EN LA IMPRENTA REAL. 1</t>
  </si>
  <si>
    <t>Maruri, Teodoro de</t>
  </si>
  <si>
    <t>Teodoro de Maruri</t>
  </si>
  <si>
    <t>…lemental hasta la resolución de problemas de primer grado con una sola incógnita, inclusive. Fueróm declarados por sobresalientes en dichos exámenes en la clase de lengua francesa D. Teodoro de Maruri, D. Segundo de Olaechea y D. Miguel</t>
  </si>
  <si>
    <t>Masanes, Josef</t>
  </si>
  <si>
    <t>Josef Masanes</t>
  </si>
  <si>
    <t>…vante mérito que contrajeron en la batalla el teniente del regimiento de Na varra adietó al estado mayor D. Vicente Gorosabe, y mi ayudante el subtemiente del batallón de la Reina D. Josef Masanes, quienes con un zelo infati gable comunicaron mis órdenes, acompañándome en los sitios de mas expo sición, donde se distinguieron en valor y serenidad. Son dignos de la conside ración de V. E. el teniente coronel comandante de lanceros venezolanos Don Alejo M…</t>
  </si>
  <si>
    <t>Masar, Santiago</t>
  </si>
  <si>
    <t>Santiago Masar</t>
  </si>
  <si>
    <t>…Real casa y pa trimonio con perjuicio de m** amadps vasallos y ofensa de la recta adminis tración de justicia j, be venido en habilitar para su despacho durante vuestra ausencia i D. Santiago Masar ñau y Torces,; mi secretario y del mi Consejo</t>
  </si>
  <si>
    <t>Maserano, Príncipe de</t>
  </si>
  <si>
    <t>Príncipe de Maserano</t>
  </si>
  <si>
    <t>…. Continúa la lista de los sujetos que han contribuido en Madrid para socorrer los pueblos epidemiados. Número 480. D. F. L. B. 320 rs. Núm. 481. D. F. Y. 320. Núm. 482. El Excmo. Sr. Príncipe de Maserano 320. Núm. 483. Una señora de la villa de Lequeitio, en el señorío de Vizcaya, 80. Núm. 484. El limo. Sr. deán'y cabildo de la catedral de Avila 2®. Núm. 485. El alcalde mayor, cura pár roco y vecinos de la villa de Benicarló, en el reino de Valencia, 621. Nu…</t>
  </si>
  <si>
    <t>Masón</t>
  </si>
  <si>
    <t>…algunos cañones, y se ignoraba en Cartagena el número de los ahogados; pero se preparaba una expedición para ir á recoger los que se hayan podido librar de la muerte. Ha muerto el general Masón en un duelo que tuvo con Mr. Macarthy, á quien provocó, á pesar de las instancias que le hicieron sus amigos para disua dirle de tan violenta determinación. AUSTRIA. Vierta 25 de Marzo. El día 22 del corriente tomó posesión del principado y obispado de OI* mu…</t>
  </si>
  <si>
    <t>Massena</t>
  </si>
  <si>
    <t>…que le lia dispensado. * Hoy han ilevado 50 caballos aL cementerio del P. Lachaíse ei mármol para la obra del monumento que se ha de erigir al Hijo predilecto de la -victoria (el mariscal Massena). Idem 1 Anteayer después de misa recibió el Rey en su cámara al embajador dé Persia, que estuvo á despedirse de S M., y partirá el sábado ó el domingo para Londres, donde habitará S. E. una hermosa casa que se le tiene preve nida en Charles Street. Según se…</t>
  </si>
  <si>
    <t>Mata, Luís de</t>
  </si>
  <si>
    <t>Luís de Mata</t>
  </si>
  <si>
    <t>…s de S. M., individuo y examinador de la Real academia latina: segunda edición, puesta en diálogo. — Ele mentos de retórica y poética, extractados de los aurores de mejor nota por D. Luís de Mata y‘Araujo &amp;c.: esta obríta es la mas útil y proporcionada para la clase de mayores. Se hallarán con la gramática castellana en las librerías de Sanz, calle de las Carretas, de Ranz, calle de la Cruz; en Granada en la de Martínez Aguilar, y en Sevilla en la de…</t>
  </si>
  <si>
    <t>Mate, Estiban</t>
  </si>
  <si>
    <t>Estiban Mate</t>
  </si>
  <si>
    <t>5°8 Parte del teniente coronel D. Estiban Mate zuma, i; • v. ,, Cumpliendo la orden verbal de vmd. salí de este punto Ja .noche' del 2i del presente con los 40 dragones que se sirvió poner á mi c^rgo, y objeto de perseguir al cabecilla de rebeldes Br. Felipe Carvajal, que se titulaba brigadier y comandant…</t>
  </si>
  <si>
    <t>Mateo, Fernando del Río y</t>
  </si>
  <si>
    <t>Fernando del Río y Mateo</t>
  </si>
  <si>
    <t>…. Francisco» Xavier Givert 100. Núm. 500. D. Ignacio Ximenez y Jarauta 20. Núm. 501. El contador y oficiales de la contaduría general de rentas decimales del reino' 880. Núm. 502. D. Fernando del Río y Mateo, de menor edad, guardia de la Per-sona del Rey nuestro Señor, 151 o Núm. 503. P. B. E. C. de H. 300. Núm. 504. El Sr. cura de S. Joscf de Madrid , por limosna recibida de una feligresa-, 600. Núm. 50S- La contaduría y mayordomía de la casa del Exce lentísimo…</t>
  </si>
  <si>
    <t>Mateo, Juan</t>
  </si>
  <si>
    <t>Juan Mateo</t>
  </si>
  <si>
    <t>…rimera clase D. Lorenzo Moret, niño del mas singular despejo, y que solo cuenta 16 meses de instrucción; D. Manuel Bommatí, D. Jacobo Pa checo, D. Josef Adan, D. Salvador Várela , D. Juan Mateo, D. Antonio Medina y D. Ramón Martínez. En la segunda D* Ignacio Várela , D. MañuefRodríguez Campo , D; Manuel-García, D. Pedro Ochoa, D. Francisco Herrera, D. Joaquín Meana .y D. Miguel Arrimada. En la tercera D. Josef Gutiérrezp. Carlos Santo,- D. Sebastián…</t>
  </si>
  <si>
    <t>Mateos, Juan Josef</t>
  </si>
  <si>
    <t>Juan Josef Mateos</t>
  </si>
  <si>
    <t>…ón de este limo. Sr. obispo se está fabricando una casa para que sirva de hospicio con mucha solidez y capaci dad. Los fondos con que se costea1 esta obra son de la renta que dejó D. Juan Josef Mateos, canónigo que fue de esta catedral. \ Madrid § de Noviembre. El 25 del-pasado tüvieron el honor de felicitará S.M. por su augusto en lace, á nombre del ilustre ayuntamiento de la ciudad de Lorca, D. Luis de Le ntos Taboada, alcalde mayor de la misma, y condec…</t>
  </si>
  <si>
    <t>Mathews, Federico Vargas y</t>
  </si>
  <si>
    <t>Federico Vargas y Mathews</t>
  </si>
  <si>
    <t>…Mallen, £&gt;. Carlos Orive-y Torres,: D. Fernando Bustillos y Barreda, D. Manuel Bustilíos y Barreda, D. Josef Bustillos y Barreda y D. Pedro Ponce y Riquelme. Con la de 8 de idem: D. Federico Vargas y Mathews, D. Francisco Vargas y Mathews, D. Cayetano Pilón y Tovalina, D. Calixto Paredes y Lardin, D. Josef Castellani y Ximenez , D- Francisco Nuñez y Pascual, D. Pedro Junquera y Velez, D. Josef Butrón y Butrón, Df Josef Rigada y ¡Llano y D. Esteban Hidalgo de Cisn…</t>
  </si>
  <si>
    <t>Mathews, Francisco Vargas y</t>
  </si>
  <si>
    <t>Francisco Vargas y Mathews</t>
  </si>
  <si>
    <t>…rres,: D. Fernando Bustillos y Barreda, D. Manuel Bustilíos y Barreda, D. Josef Bustillos y Barreda y D. Pedro Ponce y Riquelme. Con la de 8 de idem: D. Federico Vargas y Mathews, D. Francisco Vargas y Mathews, D. Cayetano Pilón y Tovalina, D. Calixto Paredes y Lardin, D. Josef Castellani y Ximenez , D- Francisco Nuñez y Pascual, D. Pedro Junquera y Velez, D. Josef Butrón y Butrón, Df Josef Rigada y ¡Llano y D. Esteban Hidalgo de Cisneros, . . ? Queriendo el Rey nu…</t>
  </si>
  <si>
    <t>Mathieu, Mauricio</t>
  </si>
  <si>
    <t>Mauricio Mathieu</t>
  </si>
  <si>
    <t>…l conde Laforest, al conde Lacepede, al conde Latour-Maubourg, al conde de Montalembert, nuestro ministro plenipotenciario cerca de S. M. el Rey de Wurtemberg, al teniente general conde Mauricio Mathieu, al consejero de Estado barón Monnier, al conde Mollieu, al conde de Montalivet, al teniente general conde Marescot, al conde de Montesquiou, al conde de.............., al conde de Pontecoulant, á nuestro primo el duque de Plasencia, al mariscal de campo marq…</t>
  </si>
  <si>
    <t>Matías</t>
  </si>
  <si>
    <t>…ansacion, otorgada por Juan de Reinoso y Catalina Rodríguez su muger, viuda de primeras nupcias de Matías de San tiago , y por Alonso Perez é Isabel de Santiago su muger , hija de D. Matías y de Doña Catalina., por la cual decidieron las-diferencias-y agravios que su ponían Reinoso y Doña Catalina haber experimentado en la partición que entre esta y Doña Isabel se hizo de los bienes de D Matías, á la que se. ha llan unidas varias escrituras de c…</t>
  </si>
  <si>
    <t>…buque mercante que de fondo, en la rada sin distinción de cabida.’*' ESPAÑA. México i.° de Octubre. Continuación, de los partes de Nuez/a-España. Oficios del coronel y comandante general D. Matías. Martin y Aguirre^ 1.® „ Exento. Sr.: Con fecha 25 del pasado me dice el comandante de Patzcuaro, teniente coronel D. Juan Oviedo, haberle avisado el de igual cla se D. Miguel Francisco Barragan, comandante de la demarcación de Ario, que una partida de las su…</t>
  </si>
  <si>
    <t>MatíasvPeciñaj</t>
  </si>
  <si>
    <t>…testamentario y alb$cga; del D. Juan Agusti#, de Baqpij$Qp,. conde que fue de Vistaflofidá, coirferid^ enda;cláií$ulft 61, def testamento que otor gó.en 15 dé Abrilidje ;i;796;en D. MatíasvPeciñaj vecino de esta? corte; íy.á su consecuencia que debía dúiarle semejante cargo hasta que se verificase el cumplimiento 'de él y segun el contenido dé la misrna cláusula. Declaró igual mente sér nula y de ningún valor ni efecto la referida escritura de 24 de Ma…</t>
  </si>
  <si>
    <t>Matm'Gbrtírias, Juan</t>
  </si>
  <si>
    <t>Juan Matm'Gbrtírias</t>
  </si>
  <si>
    <t>…r la demanda isemaiíal, 850. Núm. 444. prAntolin Hernández 80. Núm.r»44$. 'Los señores ■ cuestores debcüartel de Afligidos;, por la demanda semanal, 845. rs. y 6 mrs. ' Númf. 446.'D. Juan Matm'Gbrtírias 40. Núm. ¿147. La Real casa de Uclés, del* ótden de Santiago , i roo Núm. 4.48. Los señores cuestores del cuar tel delí Barquillo , por la demanda semanal j 233#. Núm. 449. D. Pablo Martin Cainpomanes 320.''Núm. 450. D. H. M., por mano del señor cura de Stá.…</t>
  </si>
  <si>
    <t>Matos, Julián</t>
  </si>
  <si>
    <t>Julián Matos</t>
  </si>
  <si>
    <t>…btenientes D. Mi guel Rubio y D. Nicolás Baronesi, y 5 7 soldados. Del cahtotl del Potrero han muerto el capitán llamado Timoteo, 4 sargentos y i8&gt; soldados, y han sido heridos el capitán D. Julián Matos y 8 soldados. Del de Huere han muerto 2 sargentos y 10 soldados, y 7 heridos. De las milicias de S. Mateo murieron 17 individuos, y fueron heridos 9; y del regimiento caballería lanceros venezolanos han muerto 6 soldados , y heridos un cabo y 4 soldados. Nada…</t>
  </si>
  <si>
    <t>…onesi, y el abanderado D. Leonardo del Valle. También son acreedo res á la estimador, de V. E. ei espitan comandante del cantón de Chaguaramal D. Hilario Torralba, y los capitanes D. Julián Matos y D. Josef Ga briel Hernández , como también el bizarro capitán comandante de las mili cias de S. Mateo D. Francisco Guarnan, y el teniente de dicho cuerpo Don AntonioZambrano. Juzgo merecedores á las gracias de V. E. á los sargentos primeros del batallón de la Reina Blas…</t>
  </si>
  <si>
    <t>Matschouschy</t>
  </si>
  <si>
    <t>…recibió un correó despachado por el barón de Nicolai, ministro de Rusia en Copenhague , y tftyer despachó otro para esta última ciudad. Se aguarda de un momento á otro al teniente coronel Matschouschy, que salió ae aqui para Petersburgo idos meses hace con pliegos para S. M. el Emperador. \ Y'f:j y\ ;;;; austria, - '' Viena 2$ de Abril.- . , - . . *■ ,' Ha llegado de Brandéis, en Bohemia, para reemplazar al regimiento de los coraceros del Emperador el de c…</t>
  </si>
  <si>
    <t>Matschusky</t>
  </si>
  <si>
    <t>…rio de Gabinete de S. M., y los barones de Fock y de Albedyhl, secretarios de Gabinete, acompañarán al ministro de Negocios extrangeros. ' Ayer llegó con pliegos de Petersburgo el coronel Matschusky, ayudante de campo del general Suchtelen, á quien se estaba aguardando mucho tiem po hace. DINAMARCA. Copenhague 13 de Mayo. Escriben de Suecia que para facilitar la correspondencia con el campamen</t>
  </si>
  <si>
    <t>Mattei</t>
  </si>
  <si>
    <t>…dor y la Emperatriz de Austria Con S. A. I. la-Archiduquesa Carolina, que salieron antes de ayer de Nápoles, y durmieron ayer en Veletri, donde ha tenido la honra ae recibirlos el cardenal Mattei, decano del sacro colegio. Hoy han salido á recibir á SS. MM. en Castel-Gandolfo el cardenal secretario de Estado y Monseñor Frosini, mayordomo mayor del palacio de S. S. ALEMANIA. Francfort s&gt; de Junio. Escriben de Copenhague que llama mucho la atención del…</t>
  </si>
  <si>
    <t>Mattelj</t>
  </si>
  <si>
    <t>…La salud del Padre Santo continúa en el estado mas satisfactorio , y él día deS. Pedro asistió 4 la misa solemne que se celebró en la basílica del Vatica no, habiendo oficiado el cardenal Mattelj decano del sacro colegio, y arci i : L &lt; ; { preste de esta basílica. , f ; ....' .... Idem 4 de Julio. La Princesa de Gales ha salido de Pésaro repentinamente, sirviéndose de, los pasaportes que sacó'su qamarera para sr y para una„?miga :suya-circuns-! tanci…</t>
  </si>
  <si>
    <t>Maurelles, Josef</t>
  </si>
  <si>
    <t>Josef Maurelles</t>
  </si>
  <si>
    <t>…n la tercera D. Josef Gutiérrezp. Carlos Santo,- D. Sebastián Romero, D. Antonio Medinilla, D. Juan Meáha y D. Francisco Bragne. En la cuarta y última D. Federico Rodríguez Campo, D. Josef Maurelles, P. Sebastian Ximenez, D. Josef Alvarez, D. Bernardíno Marru^mñ .y D. Luis" Alvarez. ... . Sanhícar d^ Bárrame da 24 de Mayo, En Diciemjbre.del año últiipo" se, celebraron en esta ciudad exámenes pú blicos de primeras letras, bajo la dirección del maestro D.…</t>
  </si>
  <si>
    <t>Mauri, Josef</t>
  </si>
  <si>
    <t>Josef Mauri</t>
  </si>
  <si>
    <t>…180. 1^4111.^234^ Doña Ana M. M. 10. Núm., 235. D. N. 240. Núm. 236. D. N. 3. Númeijé £37. D. Joaquín Ibañez . 109.. Núm. 238. Doña C. R. 40.'Nú». &lt;^39. -Doíi G.rP- tGo, Núm*,240. D. Josef Mauri oo* Núm. 341. Doña Anastasia* &gt;£$*13 zaíez 160. Núm. 243. D. M. L. S. C. 300. Núm, 243. ,D. Ambrosio ;Gar¿j¿ de -la Riestra- 40. Ñúm. 244.., ;D. J. Ja P.; 40; Núm. 24 5. D. J, F.i Q, Núm. 246. El teniente coronel D. Juan Delgado 200. :Núm.; 247. ÉLreverr rend…</t>
  </si>
  <si>
    <t>Mauro</t>
  </si>
  <si>
    <t>…mismo se ha servido conceder igual gracia á D. Vicente Tomas, vecinoxie la ciudad de Tarragona: á D. Josef Casalins, cirujano de la villa de Valls, en el principado de Cataluña: á D. Mauro del .Prado, re sidente en la ciudad de León: á D. Francisco Romero,, cirujano del mteblo de Castejon de las Armas, en el reino de Aragón; y á D. Bernardo María Belety(, cirujano titular de Villanueva déla Serena, en la provincia de Ext ¿remadura. Y por otras…</t>
  </si>
  <si>
    <t>Mayo, Juan Antonio</t>
  </si>
  <si>
    <t>Juan Antonio Mayo</t>
  </si>
  <si>
    <t>…vo infatigable, y en especial al tiempo- del aborda ge, viniendo con to da ia gente del castillo y con sable en mano ayudando á rechazarlo. Al pri mer piloto habilitado de oficial D. Juan Antonio Mayo, que desde el princi pio hasta el fin sostuvo con vivo fuego de la, batería conservando en ella ¡el mayor orden, y al primer contramaestre de este buque Ventura Romero, que demostró su valor y actividad marinera en el pronto reparo de estas averías. Me lisonj…</t>
  </si>
  <si>
    <t>Mayoral, Antonio Heredero</t>
  </si>
  <si>
    <t>Antonio Heredero Mayoral</t>
  </si>
  <si>
    <t>…s solemnes honras por las heroicas víctimas de Zara goza en los sitios de 1808 pronunció, en lai iglesia hospital de la Corona de Aragón pn Madrid dia 25 de Octubre de 1818,el Dr. D. Antonio Heredero Mayoral;, del gremio y claustro y catedrático de elocuencia en la Real universidad de Alcalá de Henares, cura propio de Sta. María la M^yor^de la misma ciudad,, académico de 1;* Real de la historia. Véndese á 4 rs. en el despacho de la imprenta Real. Nota. En la gace…</t>
  </si>
  <si>
    <t>Mayoral, Manuel</t>
  </si>
  <si>
    <t>Manuel Mayoral</t>
  </si>
  <si>
    <t>…adores; ai teniente de esta graduado de capitán Don Manuel M'elián; ál cápítan de la sexta del segundo de Numancia D. Martin Echagarai; al teniente de cazadores del mismo batallón D. Manuel Mayoral, y subtenientes Vicente Ruiz y D. Encarnación Freites; y finalmente al te niente del batallón del Tambo D. - Agustín Ordoñéz, que en clase de oficial de estado mayor desempeñó las comisiones que se le confiaron con el mayor acierto y valor. ,, Varios Sargento…</t>
  </si>
  <si>
    <t>Mayoy, Juan Antonio</t>
  </si>
  <si>
    <t>Juan Antonio Mayoy</t>
  </si>
  <si>
    <t>…con la denominación de Almenara la Alta. En atención al distinguido mérito que han contraído los alféreces de na vio D. Francisco Sevilla y D. Antonio Gonzaléz Madroño; el piloto D. Juan Antonio Mayoy el primer guardián Ventura Romero, comandante segun_do, y destinados en,la fragata particular Resolución ¡armaáa en guerra -9 como igualmente su guarnición y tripulación, en el combate que sostuvo el 14 de Octubre de 1818 contra el bergantín insurgente Maypo…</t>
  </si>
  <si>
    <t>Mazarredo, Miguel de</t>
  </si>
  <si>
    <t>Miguel de Mazarredo</t>
  </si>
  <si>
    <t>…n Ramón. Paternina. Idem ter cero á D. Pedro Bergé. Gramática castellana, primero á D. Josef Fernandez Molina. Idem segundo á D. Gregorio de Olaeta. Gramática francesa, prime ro á D. Miguel de Mazarredo. Idem segundo á D. Francisco Semprun. Gra-* mática.latina, primero á D. Ladislao Pedro de Ochoa. Idem segundo á Don Antero Tutor. Matemáticas puras, primero á D. Bartolomé de Olaechea. Idem segundo á D. Isidro de Certucha. Idem tercero á D. Juan Bernardo de U…</t>
  </si>
  <si>
    <t>Me-', Luis</t>
  </si>
  <si>
    <t>Luis Me-'</t>
  </si>
  <si>
    <t>…no del Pozo; en Salamanca en la dé D; Josef Medina;-en Sigüenza en la del Lie. O. Juan.Antonio Mendéz; en Santan der en la del Lie. D. Ramón de Egnarasyen Valladolid en 1a del Dr. D. Luis Me-' j&gt;a; en Astorga en la de D. Gaspar Tardío: én Toledo en la de D. Benito Lizana; en Ciudad Real en la de D. Francisco Morales; en Cuenca en la de D. Manuel Faustino de César; en Badajoz en la del Dr. D. Jaime Brancos; en Plasencia en la de D. JoseCP io López.S…</t>
  </si>
  <si>
    <t>Me-, Josef López</t>
  </si>
  <si>
    <t>Josef López Me-</t>
  </si>
  <si>
    <t>…Navarra; D. Juan Orbegozó, coronel agregado del regimiento fijo de México, y mariscal de campo D. Juan Echeverri. Caballeros. ; , D. Josef Velez, capitán de milicias provinciales; D. Josef López Me-</t>
  </si>
  <si>
    <t>Meáha, Juan</t>
  </si>
  <si>
    <t>Juan Meáha</t>
  </si>
  <si>
    <t>…-García, D. Pedro Ochoa, D. Francisco Herrera, D. Joaquín Meana .y D. Miguel Arrimada. En la tercera D. Josef Gutiérrezp. Carlos Santo,- D. Sebastián Romero, D. Antonio Medinilla, D. Juan Meáha y D. Francisco Bragne. En la cuarta y última D. Federico Rodríguez Campo, D. Josef Maurelles, P. Sebastian Ximenez, D. Josef Alvarez, D. Bernardíno Marru^mñ .y D. Luis" Alvarez. ... . Sanhícar d^ Bárrame da 24 de Mayo, En Diciemjbre.del año últiipo" se, celebraron en esta ciudad e…</t>
  </si>
  <si>
    <t>Meana, Joaquín</t>
  </si>
  <si>
    <t>Joaquín Meana</t>
  </si>
  <si>
    <t>…Várela , D. Juan Mateo, D. Antonio Medina y D. Ramón Martínez. En la segunda D* Ignacio Várela , D. MañuefRodríguez Campo , D; Manuel-García, D. Pedro Ochoa, D. Francisco Herrera, D. Joaquín Meana .y D. Miguel Arrimada. En la tercera D. Josef Gutiérrezp. Carlos Santo,- D. Sebastián Romero, D. Antonio Medinilla, D. Juan Meáha y D. Francisco Bragne. En la cuarta y última D. Federico Rodríguez Campo, D. Josef Maurelles, P. Sebastian Ximenez, D. Josef Alva…</t>
  </si>
  <si>
    <t>Meca, Antonio Perez de</t>
  </si>
  <si>
    <t>Antonio Perez de Meca</t>
  </si>
  <si>
    <t>…bre del ilustre ayuntamiento de la ciudad de Lorca, D. Luis de Le ntos Taboada, alcalde mayor de la misma, y condecorado cón la Real cruz de Fidelidad de esta muy heroica villa, y D. Antonio Perez de Meca, maes-</t>
  </si>
  <si>
    <t>…su augusto, enlace con la Reina nuestra Señora Doña María Jo sefa Amalia , á nombre del Real cuerpo de maestranza de caballería de Granada, sus individuos el conde de Polentincs, D. Antonio Perez de Meca y 0. Pedro Manuel V etíuti López de Ay ala; de los cuales el primero dijo: t*.. . * Seño®. : 1 ‘ ■ ■ La Real maestranza de Granadal nos ha comisionado para felicitar á VYM. por su dichoso enlace con la excelsa Princesa que forma ya Jas deli cias de la nación:…</t>
  </si>
  <si>
    <t>Medina, Antonio</t>
  </si>
  <si>
    <t>Antonio Medina</t>
  </si>
  <si>
    <t>…Lorenzo Moret, niño del mas singular despejo, y que solo cuenta 16 meses de instrucción; D. Manuel Bommatí, D. Jacobo Pa checo, D. Josef Adan, D. Salvador Várela , D. Juan Mateo, D. Antonio Medina y D. Ramón Martínez. En la segunda D* Ignacio Várela , D. MañuefRodríguez Campo , D; Manuel-García, D. Pedro Ochoa, D. Francisco Herrera, D. Joaquín Meana .y D. Miguel Arrimada. En la tercera D. Josef Gutiérrezp. Carlos Santo,- D. Sebastián Romero, D. Antonio Medinilla, D. Juan…</t>
  </si>
  <si>
    <t>Medina, Antonio Ruiz</t>
  </si>
  <si>
    <t>Antonio Ruiz Medina</t>
  </si>
  <si>
    <t>…e recibido en este pueblo la infausta noticia de la muerte de S. M. la Reina nuestra Señora Doña María Isabel Francisca, el cura propio de la única parroquia de Sta. María la Real D. Antonio Ruiz Medina dió las disposiciones conducentes para que en el dia mismo del recibo se cla morease á vuelo de todas las campanas, y precedido el convite del clero, ayuntamiento y pueblo en ei dia 3 del pasado, ofició el mismo párroco en dicha iglesia las mas solemnes honra…</t>
  </si>
  <si>
    <t>Medina, Diego López de</t>
  </si>
  <si>
    <t>Diego López de Medina</t>
  </si>
  <si>
    <t>…caudales que entraron en su poder, pertenecientes al vínculo patronato Real de legos y capellanía que en el convéntó dé religiosas de Sta. Catalina de Sena^de esta corte, fundó el capitán D. Diego López de Medina, de que es patrono poseedor D. Juan de Rueda. ..........................</t>
  </si>
  <si>
    <t>Medinilla, Antonio</t>
  </si>
  <si>
    <t>Antonio Medinilla</t>
  </si>
  <si>
    <t>…guez Campo , D; Manuel-García, D. Pedro Ochoa, D. Francisco Herrera, D. Joaquín Meana .y D. Miguel Arrimada. En la tercera D. Josef Gutiérrezp. Carlos Santo,- D. Sebastián Romero, D. Antonio Medinilla, D. Juan Meáha y D. Francisco Bragne. En la cuarta y última D. Federico Rodríguez Campo, D. Josef Maurelles, P. Sebastian Ximenez, D. Josef Alvarez, D. Bernardíno Marru^mñ .y D. Luis" Alvarez. ... . Sanhícar d^ Bárrame da 24 de Mayo, En Diciemjbre.del año últ…</t>
  </si>
  <si>
    <t>Medinilla, Francisco</t>
  </si>
  <si>
    <t>Francisco Medinilla</t>
  </si>
  <si>
    <t>…Diego Orozco, escri bano del número. 15. Un apeo de las tierras del estado de Rivas, en virtud de provisión de S. M. hecho en el año de 1704. 16. Escritura de los censos que goza D. Francisco Medinilla como cape llán de la memoria y capellanía que fundó Diego Ribero en la parroquial de S. Gines de esta corte. 17. Un traslado del privilegio de excepción de la villa de Bodonal, y di ligencias en su virtud hechas, autorizado por el escribano del número de di c…</t>
  </si>
  <si>
    <t>Medrano, Faustino</t>
  </si>
  <si>
    <t>Faustino Medrano</t>
  </si>
  <si>
    <t>…. y 17 mrs. ,4 rs. y .17 mrs. Núm. 598- EL limo. Sr. deán y cabildo de la santa iglesia catedral de Tortosa i®. Núm. 599. X&gt;. M. M. $0. Núm. 6oc&gt;. D. Manuel Menendez iqo Núm. 601. D. Faustino Medrano 2©. Núm. 602. El limo. Sr. deán y cabil do de la santa iglesia primada de Toledo 60. Núm. 603. D. F. T. 360. Nú mero 604. D. N. 40. Núm. 605. El señor cura de S. Andrés de Madrid, por limosnas recibidas de dos feligresas, 30. Núm. 606. D. J. R. 24. Núm. 607,…</t>
  </si>
  <si>
    <t>Medrano, Juan Valle de</t>
  </si>
  <si>
    <t>Juan Valle de Medrano</t>
  </si>
  <si>
    <t>…o de úna escritura de imposición de censo, otorgada por Doña Beatriz Ramírez de Mendoza, condesa del Castellar , viuda de D. Fer nando Ramírez Saavedra, de 6® ducados, en favor de D. Juan Valle de Medrano y Doña Manuela de Osma su muger, sobre sus bienes y rentas, fecha en esta corte á 21 de Junió dé 1617 ante el escribano Francisco Testa. Por providencia del Sr. D. Manuel Josef de Arbizu; del Consejó de S. M., ai- . calde en su Real Casa y Corte, se convoca á junta general.á los ac…</t>
  </si>
  <si>
    <t>Médwdbí, Josef</t>
  </si>
  <si>
    <t>Josef Médwdbí</t>
  </si>
  <si>
    <t>…Barberini la habitáeidp quefue.dei difunto Sr. D. Cárlos iv de^Borbon ^con, ebfin.de-;ver el gran cuadro que re presenta la muerte de Lucrecia , "pintado en 180y para S. M. C. por D. Josef Médwdbí ’SSíjMM.?se;detuvieron con gustó níaqgoítiémpo delante "dá esta pintura;, celebrando; mucho lahabilidad.det profesar yy. conversando conéi íobrfc maierSasIactísticas;? ! ■ oi í e! ¡rí u? r =ol » j;¡ vr&gt;ib ' is ó! h . ;.,:p V- i . i ' ! Munich. 15 de Abril. Lo…</t>
  </si>
  <si>
    <t>Megía, Juan de Vargas y</t>
  </si>
  <si>
    <t>Juan de Vargas y Megía</t>
  </si>
  <si>
    <t>…e Doña Elvira Ponce de León, marquesa de Villanueva deValduerca, de 399,873 mrs. de juro al quitar en millones de Segovía y su provincia. \ ^ ' , 12. Privilegio de juro á favor de D. Juan de Vargas y Megía, vecino de esta corte, de 70© mrs., situado sobre las yerbas de Alcántara. 13. Ordenanzas de la hermandad del Smo. Cristo de los Afligidos* sita</t>
  </si>
  <si>
    <t>Megía, Luis</t>
  </si>
  <si>
    <t>Luis Megía</t>
  </si>
  <si>
    <t>…ndo sido todos antes aprobados en rigurosos exámenes con la satis facción de que se declarasen dignos de premio oo, de los 200 cuya enseñanza costea la sociedad. Por último el Df. D. Luis Megía djó gracias al cuerpo patriótico por sus sacrificio?, pintando los perniciosos efectos del egoísmo, y ei honor y pla cer que. trae consigo el hacer bien á sus semejantes. Programa de los premios auet ofrece la misma Real sociedad para el aña : de 1820. ‘ / "…</t>
  </si>
  <si>
    <t>Megino, Alberto de</t>
  </si>
  <si>
    <t>Alberto de Megino</t>
  </si>
  <si>
    <t>…...... 1000 idém.......... En Zaragoza. 4934-............... . 1000 idem........... En Madrid. . -I"'.. i .i ' ¿ ARTICULO DB. OFICIO. El Rey nuestro Señor sp ha dignado conceder á D. Alberto de Megino los honores de ministro del tribunal de la Contaduría mayor de cuentas. S.M. se ha .dignado conceder.su Real permiso al P. D. Antonio Vi Malta., presbítero, y ministro de la congregación del oratorio de S- Felipe Neri de la ciudad de Murcia, para que pueda us…</t>
  </si>
  <si>
    <t>Melchor</t>
  </si>
  <si>
    <t>…nsejo de Castilla, por la escribanía de cámara de Don Antonio López de Salazar, se siguen autos por parte de Doña Catalina de Sierra y Ovando, guarda mayor* de Damas.de S. M., con D. Melchor de la Guardia y de mas hermanos herederos abintestato de D. Jaime de la Guardia, sobré que la de vuelvan, la dote que llevó su hija Doña' María Teresa de Ovapdo y .Sierra al matri monio que contrajo con el D. Jaime; en cuyos autos se ha!sefvido mandar dicho s…</t>
  </si>
  <si>
    <t>Melci, Josef de Palafox y</t>
  </si>
  <si>
    <t>Josef de Palafox y Melci</t>
  </si>
  <si>
    <t>…xal .dé Jos, Reales egércitos, y primer caballerizo del Sermo. Sr. Infante D.;Carlos,; marqués de Casa-Maarid , primer .caballerizo del -Sermo. Sr; Io&amp;ote D, Fijangisco de Paula ; D. Josef de Palafox y Melci, .cáballeco gran oroz ríe las ,orf-? denesríe S. Fe mandos y S.&gt;rHerjnenegildo, .y oapi«an general rde ¿Ips Jleaies&gt; egércitos; D. Joaquín Blake, caballero gran cruz de las mismas dos órdenes, ingeniero general, y capitán general de los Reales egércitos; marq…</t>
  </si>
  <si>
    <t>Mélendez, Andrés</t>
  </si>
  <si>
    <t>Andrés Mélendez</t>
  </si>
  <si>
    <t>…la Duquesa viuda de Brunswick, hermana de S. M. el Rey de los Paises-Bajos. En el Consejo supremo de Hacienda y sala seguim’a de Justicia, por la escribanía de Cámara al cargo del Sr. D. Andrés Mélendez, se siguen autos contra D. Antonio</t>
  </si>
  <si>
    <t>Mellinet</t>
  </si>
  <si>
    <t>…S. M. el Rey de Francia ha expedido otro nuevo decreto permitiendo que vuelvan á su patria seis de los desterrados en virtud de las ordenes anteriores, y entre ellos se cuenta al general Mellinet. GRAN BRETAÑA. Londres jo de Jimio» Las discusiones que hubo ayer en la Cámara de los Comunes acerca del budjet ó presupuesto no han servido mas que para descorrer él velo á nuestra verdadera situación, y hacer patente la necesidad de un empréstito de 12 mill…</t>
  </si>
  <si>
    <t>Melville</t>
  </si>
  <si>
    <t>mente la marina; y de consiguiente la exposición de su actual estado que hi zo anoche en la Cámara de los Pares lord Melville debía interesar sobre manera la curiosidad del público. Afirmó S. S. que nunca había tenido la Gran Bretaña en tiempo de paz unas fuerzas navales comparables á las que h'ay en el dia, pues el número de marinos que están en actual servicio es de 20©, siendo as…</t>
  </si>
  <si>
    <t>1*142 • tubre último les avisaron sus corresponsales de .Londres y .Glascow que lord Melville les había asegurado del modo mas positivoqüe iba á despacharse uná fuerza naval competente con dirección á Panamá. La noticia de Londres es de fecha del 3, y la de Glaseó w de 22 de Agosto último; y vpósteriorménte han sabido por cartas recientes de Panamá qu…</t>
  </si>
  <si>
    <t>Men, Francisco Xavier de</t>
  </si>
  <si>
    <t>Francisco Xavier de Men</t>
  </si>
  <si>
    <t>…n mi litar; pero no cumpliría con mi deber si no hiciese presente á V.S. que en es¿ ta&gt; jornada ha sido tal su porte bizarro que ha rayado en heroísmo. Recomieiido á’iV.:S. ál Dr. D. Francisco Xavier de Men di olaza, cura y vicario dé esté pueblo» que me lia acompañado ejerciendo voluntariamente las funciones de «apellan, y cuyos conocimientos prácticos del terreno me han servido de mucho. Dios guarde á V- S. muchos años. Mojocoya 22 de Mayo dé 1818. ^Baldomcro…</t>
  </si>
  <si>
    <t>Mena, Manuel de</t>
  </si>
  <si>
    <t>Manuel de Mena</t>
  </si>
  <si>
    <t>141</t>
  </si>
  <si>
    <t>…cio á 2 de Febrero de 1819. = Al marques de Casa-Irujo.” Por Real resolución,de 28 de Enero último, á consulta del Con se j*o su premo de la Guerra, se ha servido S. M. conceder á D. Manuel de Mena, practicante segundo de cirugía que fue en la última campaña, y residente en ésta corte, él fuero militar y uso de uniforme de la clase en .que sirvió , que le corresponde como comprendido en la Real orden circular de 19 de Junio de 1815; declarando al mismo…</t>
  </si>
  <si>
    <t>Menchaca, Aparicio de Vídaurrazaga y</t>
  </si>
  <si>
    <t>Aparicio de Vídaurrazaga y Menchaca</t>
  </si>
  <si>
    <t>…a Cámara de Indias: asimismo se ha dignado nombrar para eí corregi miento de Tunja, en el vireinato de Santa Fe, vacante por haber cumplido su tiempo D. Andrés Pinzón, al teniente coronel D. Aparicio de Vídaurrazaga y Menchaca: para la dignidad de chantre de la santa iglesia catedral de Pana má, vacante por fallecimiento de D. Josef María Santos, á D. Tomas Puyol; y para la media ración de la santa iglesia catedral de Valladolid de Mechoacan, vacante por no haber tomado posesión de…</t>
  </si>
  <si>
    <t>Mencía</t>
  </si>
  <si>
    <t>…a , y esta tasada-én 15649 rs., el día 27 dé Abril próximo , á Tas i'í dé su mañana', en la audiencia''de'dicho señor. . Se halla vacante la plaza de médico titular de la villa de Doña Mencía , reino de* Córdoba, cuyo vecindario es de mil vecinos, cotí la dotación de 800 ducados anua les pagados por su ayuntamiento vlqs pre^end^te? dirigirán sus memoriales al es cribano 0. Bonoso.Marcelino de Corpas hasta él 25 del presente Abril. ' Conocimiento d…</t>
  </si>
  <si>
    <t>Mendez, Josef María</t>
  </si>
  <si>
    <t>Josef María Mendez</t>
  </si>
  <si>
    <t>…le atravesó la espalda al concluirse la acción. Nuestra pérdida ha consistido en 2 muertos, un sargento de Guayana y un soldado de Río Carives: heridos el subteniente de Clarines D. Josef María Mendez y 2 soldados de las Milicias de Carupano, 2 soldados y el subteniente de las de Rio Carives D. Juan An tonio Fernandez , y 6 soldados.” 2.0 ,, El brigadier D. Tomas deCires, gobernador de la provincia de Cu,maná, y comandante general de la cuarta división, co…</t>
  </si>
  <si>
    <t>Mendez, Manuel</t>
  </si>
  <si>
    <t>Manuel Mendez</t>
  </si>
  <si>
    <t>…a de Benito Cabello y con la de Isidro del Hoyo: otro pedazo de tierra, como de dos y media fanegas, en el sitio de la Legua, linda con la de la viuda de Eugenio García, con la de D. Manuel Mendez y con la de Benito Alfonso, á 29 rs. cada una: un majuelo temprano, en el sitio que dicen la Junquera, con 436 cepas vivas y 2 6 muertas, linda con tierra de las Animas, con viña de Pedro Navacerrada, con el arroyo de dicha Junquera; y con tierra de León Lópe…</t>
  </si>
  <si>
    <t>Mendez, Patricio Gabriel</t>
  </si>
  <si>
    <t>Patricio Gabriel Mendez</t>
  </si>
  <si>
    <t>…presente año. El Rey nuestro Señor se ha dignado nombrar para la dignidad de deán de la santa iglesia catedral del Cuzco, vacante por fallecimiento de D- Feli ciano laz y Pozo, á D. Patricio Gabriel Mendez; para la dignidad de arce diano de la misma sarita iglesia, vacante por fallecimiento de D. Benito Concha y Jara» á D. Manuel de la Sota y Beingolea; para la dignidad de arce♦ diano *a santa iglesia catedral de Sta. Marta, vacante por iallecimiento de</t>
  </si>
  <si>
    <t>Mendizabal, Joséf de</t>
  </si>
  <si>
    <t>Joséf de Mendizabal</t>
  </si>
  <si>
    <t>…dispersión. Dios guarde á- S. mu chos años. Misque y ¡Agosto 28. de i 8i 8.=Pedro^Antonio de jAssua.^Sf. to-1ronel gobernador intendeate y. comandante • general «' de la provincia D. Joséf de Mendizabal é Imáz.’’ ¡nr; ^ ■ y\&gt; Orense zo de Mayo / • ; En los dias 28 , 29, 30.713 jude? Marzói y'i.° de Abril del presenté-añ6 se celebraron honras fúnebres; por. Iar;RÉuak ¡nuestra Señoría-y dós Reyes Pa dres, Q. E. P. D. Al efecto 'seerigió un magnífico cenótafio…</t>
  </si>
  <si>
    <t>Mendizabal, Mariano</t>
  </si>
  <si>
    <t>Mariano Mendizabal</t>
  </si>
  <si>
    <t>…rra continua en aquellos puntos protegiendo ai subdelegado* del partido para la-recaudación de ¿tributos que se va verificando, •&gt; Qon fecha 3iLdeI mismo Agosto me avisa elcapitan D. Mariano Mendizabal,; que habiendoqu.edada&gt;CQOipiact¿ de sncompanía en el pueblo»de Arque du-&gt; rante la anterior expedición del comandante Guerra, noticioso de que en el anejiOrde)Sica^d 'sé*hallabael'jc^diliói'íMam&amp;ni; salió'irlas ocho^ de.la liiche contarte ¿d© sti génífeny al…</t>
  </si>
  <si>
    <t>Mendo, Francisca</t>
  </si>
  <si>
    <t>Francisca Mendo</t>
  </si>
  <si>
    <t>…licias de aquella provincia, muerto á manos de los insurgentes en el servicio de espía que hacia cerca de ellos por disposición del gobernador de la provincia, la misma pensión. A Doña Francisca Mendo za, viuda del sargento primero de las milicias de Cumaná D. Lorenzo Xtmenez1, muerto en la acción de guerra tenida enMaturin. en 25 de Mayo del año de 13 , la pensión de 3 rs. diarios. A Doña María Sánchez de Torres, vecina fie Cumaná, y viuda de D. Gaspar An…</t>
  </si>
  <si>
    <t>Mendo, Manuel</t>
  </si>
  <si>
    <t>Manuel Mendo</t>
  </si>
  <si>
    <t>…rección: por .puntos extraviados, me puse en marcha ei 18 ‘del corriente con 94 hombres, de mi compañía , y 40 de la pri mera con el teniente D. Mariano Fignercra r ek subteniente D. Manuel Mendo za,-yr el alférez de caballería que-se: hallaba en esta de paso á Sta. Cruz Don .Gerónimo María del Aguila), .por ver si conseguía destrozarle sobre el mismo üfcncor que llevaba ; pero la&amp;variasnotíeiasJalsas que me daban me hicieron pgrderyek tiempo; por los…</t>
  </si>
  <si>
    <t>Mendoza</t>
  </si>
  <si>
    <t>…ei Consejo su premo; de la Guerra; conformándose con su parecer , se ha servido $, M. re solver que se publique en-la gaceta la patriótica conducta y acrisolado honor del referido general Mendoza en los principios déla pasada gloriosa ie\o-</t>
  </si>
  <si>
    <t>Mendoza, Arias Gonzalo de</t>
  </si>
  <si>
    <t>Arias Gonzalo de Mendoza</t>
  </si>
  <si>
    <t>…fecto les parará el perjuicio que haya lugar en derecho. ,, Los que no hayan recogidq los topos 6° y 7,0 de las Conferencias eclesiásticas de Angers, traducidas al castellano .por D. Arias Gonzalo de Mendoza, acudirán á recogedles a la librería de Razóla, callé de .Preciadas en el preciso término''dé dos menes,'contados desde lá fecha de esté anuncio , pijes pasado se dispondrá de ellos, ¿n ía misma librería se halla de venta esta obra en pasta y rústica, papel o…</t>
  </si>
  <si>
    <t>Mendoza, Beatriz Ramírez de</t>
  </si>
  <si>
    <t>Beatriz Ramírez de Mendoza</t>
  </si>
  <si>
    <t>…varios papeleé; otorgada en 30 de Diciembre de 1787'ante D. Ramón Josef Aguado, escribano Real en esta córte. 21. Testimonio de úna escritura de imposición de censo, otorgada por Doña Beatriz Ramírez de Mendoza, condesa del Castellar , viuda de D. Fer nando Ramírez Saavedra, de 6® ducados, en favor de D. Juan Valle de Medrano y Doña Manuela de Osma su muger, sobre sus bienes y rentas, fecha en esta corte á 21 de Junió dé 1617 ante el escribano Francisco Testa. Por p…</t>
  </si>
  <si>
    <t>Mendoza, Brianda de</t>
  </si>
  <si>
    <t>Brianda de Mendoza</t>
  </si>
  <si>
    <t>…mitirlos, y nos dispense el honor de besar su Real mano.’* En virtud de acuerdo de los señores patronos de las memorias fundadas por el Sr. D. Roque de Herrera y Ribera , y las de Doña Brianda de Mendoza en el con vento de S. Felipe el Real de esta ccrte, de que son patronos el señor cura de la iglesia parroquial de S. Sebastian de está- villa, el R. P. Prior del insinuado convento, y los señores marqueses-de Auñóri , en junta celebrada el día 25 de. Agosto d…</t>
  </si>
  <si>
    <t>Mendoza, Iñigo López de</t>
  </si>
  <si>
    <t>Iñigo López de Mendoza</t>
  </si>
  <si>
    <t>…o año, á 5 ts. en papel."Invectiva contra el lujo, por el mismo, impresa &lt;en 1794, á 4 rs. en papel. Véndense en él almacén de la im prenta Real. Proverbios útilísimos del ilustre caballero D. Iñigo López de Mendoza, marque» de Santillana, impresos en ¿1787. Véndense á 3 rs. «n papel en el almacén de la im prenta Real. EN LA IMPRENTA REAL.</t>
  </si>
  <si>
    <t>Mendoza, Joaquín de</t>
  </si>
  <si>
    <t>Joaquín de Mendoza</t>
  </si>
  <si>
    <t>…cretario dei Consejo supremo dse la Guerra la Réáí orden que sigue: " jy Én teradqjel Rey '¿elaí. rin‘stanqia .de Doña, Paula de la ..Cruz y Mendo za , viuda del mariscal de campo D. Joaquín de Mendoza, gobernador que fue dé la plaza de’Gerona, en,solicitud de que se haga pública y notoria la. conductas patriótica y. honor acrisolado del referido general, y lo satisfecho que se halla de sus servicios, .muy particularmente en. el armamento y de fensa de-dich…</t>
  </si>
  <si>
    <t>Mendoza, Josef</t>
  </si>
  <si>
    <t>Josef Mendoza</t>
  </si>
  <si>
    <t>…áta, coneí-íémá en su orla 'Real consulado de Málaga, y en medio Premió á la juventud aplicada. Los 4 mayores á D. Manuel Llera, D. Gabriel Gómez , de Cádiz , IX'Jósef dé Rute y á D. Josef Mendoza, que fueron los que mas sobresalieron. Lósl 20 menores restantes á D. Francisco Molina, al guardia de la Real Pérsona Di Jo sef V idaurre, D. Rafael Rico, D. Celestino Arel lañó, D. Josef Jiménez, Don Juan Pedro Isr.si, D. Miguel Infante, D. Josef Aguirre, D&gt;…</t>
  </si>
  <si>
    <t>Menen, Blas</t>
  </si>
  <si>
    <t>Blas Menen</t>
  </si>
  <si>
    <t>…D. Vicente de la Costa, se ha mandado sacar á pública subasta por el térmire de la ley una casa situada en la ca lle de la Maderá alta, núm. 11 , de ia man?. 463 , á instancia de D. Blas Menen— dez , 'dueño actualmente de ella, y la cual perteneció antes á la viuda de D. Tuís García dé Lorgoria Doña Josefa Cordilla y Rodríguez: se ha tasado por el arqui tecto D. Júañ Bautista Cuervo en la cantidad de 17, *45 rs. , de cuya suma ha de rebajarse la ca…</t>
  </si>
  <si>
    <t>Menendez, Manuel</t>
  </si>
  <si>
    <t>Manuel Menendez</t>
  </si>
  <si>
    <t>…reses de vales importantes 180 rs. y 17 mrs. ,4 rs. y .17 mrs. Núm. 598- EL limo. Sr. deán y cabildo de la santa iglesia catedral de Tortosa i®. Núm. 599. X&gt;. M. M. $0. Núm. 6oc&gt;. D. Manuel Menendez iqo Núm. 601. D. Faustino Medrano 2©. Núm. 602. El limo. Sr. deán y cabil do de la santa iglesia primada de Toledo 60. Núm. 603. D. F. T. 360. Nú mero 604. D. N. 40. Núm. 605. El señor cura de S. Andrés de Madrid, por limosnas recibidas de dos feligresas, 30.…</t>
  </si>
  <si>
    <t>Meneos, Miguel de Nájera</t>
  </si>
  <si>
    <t>Miguel de Nájera Meneos</t>
  </si>
  <si>
    <t>…Bergído: para el corregimiento del Asiento de Ambato, en la presidencia de Quito , al coronel graduado D. Jorge Ricaurte: para la asesoría del gobierno é intendencia-de Popayán, á D. Miguel de Nájera Meneos; y para la subdelegacion de Tinta, en la provincia del Cuzco, á D. Vicente Berros Villarica. En atención á los méritos de D. Miguel García de la Vega, contador de resultas primero de segunda clase del tribunal de Cuentas de‘ Lima, se ha dig nado S. M. concede…</t>
  </si>
  <si>
    <t>Meno, Ignacio</t>
  </si>
  <si>
    <t>Ignacio Meno</t>
  </si>
  <si>
    <t>…amilia é intereses se puso á la cabeza de"un&gt;-piquete de su cuerpo , que componía mi trozo de operación ¿ como 'igualmente el ayudánte de esta plaza teniente de dragones de España D. Ignacio Meno cát que mandaba los-i5 caballos, quienes se ba tieron bizarramente en todos los lances arriesgados* habiendo recorrido di cho comandante con ^seis1 • dragones’'el rumbó que le destiné, con el objeto de que me avisase dé lo que me pudiera 'sobrevenir por aquel…</t>
  </si>
  <si>
    <t>Mercada, Juan Camps y</t>
  </si>
  <si>
    <t>Juan Camps y Mercada</t>
  </si>
  <si>
    <t>688</t>
  </si>
  <si>
    <t>688 cirujano interino del mismo D. Juan Camps y Mercada!, quienes Unánime* mente dieron la declaración que á la letra dice asi: „Como facultativos de este e$tablecimiemo;sanitario declaramos: Que ha»hiendo reconpctdo e inspeccionado «1 cada ver del paSagéro hebreo Abra¿ «han Mergent hemos encontrado:que tenia en.s…</t>
  </si>
  <si>
    <t>Mergelina, Cristóbal</t>
  </si>
  <si>
    <t>Cristóbal Mergelina</t>
  </si>
  <si>
    <t>…122 fanegas reducidas á cultura, 18 y 7 celemines de plantío de viña, y de 50 á 60 fanegas de tierra inculta que le corresponden por vertientes y ensanches, linde por oriente con D. Cristóbal Mergelina y D. Josef Ibañez ; por poniente con Doña Francisca Xavíera Lozano , viu da de D. Pedro Pablo Avellano Lozano y Montes; por mediodíasD. Diego Fer nandez Tomas, herederos de Juan Ximenez Lozano, y camino de Yecla para To baría en medio, y por el norte los mónteselas tenajas y t…</t>
  </si>
  <si>
    <t>Mesa, Josef María</t>
  </si>
  <si>
    <t>Josef María Mesa</t>
  </si>
  <si>
    <t>…és de habernos desvelado toda la noche los ladrones sin poder dar con dios, he logrado batirlos esta mañana completamente por medio de tres partidas á las órdenes de los tenientes D. Josef María Mesa, Quintanilla y Aburto, dejando muchos rastros de sangre y dos prisioneros, entre ellos el desertor de la Corona Chulillos ó Chivilini, el que para escarmiento de los demas he dispuesto se pase esta tarde por las armas por hallarse en su decla ración convicto…</t>
  </si>
  <si>
    <t>Mesa, Luis de</t>
  </si>
  <si>
    <t>Luis de Mesa</t>
  </si>
  <si>
    <t>…al; de los roperos' de nuevo,; otorgada por D Eugenio dé’Oliva, por sí y en-óorribre de, Doña Luisa de Oliva, heréderá "de‘J Doña Ana de Oliva su ti a, en fávor de Iás memorias de D. Luis de Mesa y D. Diego Ramírez de* Mesa Castaños, ‘su£ albaceas, ante Francisco Morales, escribano del número de esta corte, en 2 de Octubre de 1665. 2.0 Privilegio concedido por el Sr. Rey D. Felipe 11 á la villa de Torre de Juan Abad, restituyéndola en la jurisdicción y haciéndoladueña’…</t>
  </si>
  <si>
    <t>Metnbiela, Guillermo</t>
  </si>
  <si>
    <t>Guillermo Metnbiela</t>
  </si>
  <si>
    <t>…dé 1808, señalados con los números 376,846, 375,382 y 376,770: á D. Joaquín Guerra, á los señores viuda de Nolivos, Campo y compa ñíaá D. Martin Monzon,á Doña Francisca Cadenas, i D. Guillermo Metnbiela, ádX Francisco López de las Herrerías y áJD. Rafael Goirí , ¿ quienes .también se hallan, eindbsados respectivamente nueve vales Reales de 150 pesó?, de la misma creación de i.° de Enero de 808, marcados con -lós números 344,846, 304,9^1, 2^2,001, 313,776, 31…</t>
  </si>
  <si>
    <t>Metrernich</t>
  </si>
  <si>
    <t>…cuartos.]. t * GACETA DE MADRID DEL MARTES 30 bE MARZO DE 1819. ITALIA. Ñapóles 25 de Febrero. S. M. el Rey de las Dos Sicilias acaba dexonferir el título de Duque dé Portclla al príncipe Metrernich, ministro de Negocios extrangeros de AustriaVenecia 2 y de Febrero. Esta mañana á las nueve salieron para Padua SS. M\í. el Emperador y la Emperatriz. Se dice que se ha variado el itinerario de su viage, y que toma rán el camino de Sinigaglia, de Ancona y de…</t>
  </si>
  <si>
    <t>Mettemich</t>
  </si>
  <si>
    <t>…recibido mas noticia del congreso de Carlsbad , sino la de que los ministros permanecían todavía en aquella ciudad á la salida del último cor reo, y solamente se anunciaba que el príncipe Mettemich debia ponerse in mediatamente en caminó para el Austria , lo cual suponía que el congreso iba _ y1"” á disolverse. •' ¡' Desde la celebración del congreso de Aquisgran te han publicado en Ale mania mas de 40 periódicos políticos. GRAN BRETAÑA. Londres 27 de A…</t>
  </si>
  <si>
    <t>Metternich</t>
  </si>
  <si>
    <t>…o de Sinigaglia, de Ancona y de Aquila para ir en derechura á Ñapóles, pasando á la vuelta pólr Roma; pero esta noticia necesita confirma ción. El 24 y el 25 llegaron á Bolonia el príncipe Metternich y varios emba jadores extrangeros f y hace ocho dias que están en Florencia el Archiduque Palatino y el Príncipe Antonio de Saxonía con la Archiduquesa su esposa» cuyas circunstancias parece que indican que no se ha alterado el itinerario de SS. MM.; siendo c…</t>
  </si>
  <si>
    <t>…Álbedihn, secretario delegación,. concuna; comisión de grande importancia, según dicen. Idem S. tía llegado á esta ciudad Mr. Canning, y se dice que p&amp;sa á Vierta á tratar con el príncipe Metternich asuntos de .mucha importancia , por haber tenido que restituirse repentinamente á Londres con motivo de los alborotos de Manchester lord Wellington , quien tenia la misma comisión. . ídem jo. . Varias personas dignas de crédito aseguran que los principales pu…</t>
  </si>
  <si>
    <t>…aquí al conde de Bernstorff, que debe llegar de Berlín á principios de Noviembre; y corre'larvoz que/el objeto de este viage prematuro es para: conferenciad privadamente don; eli^príncipe Metternich , á fin de preparar los-m ate ríales que deben prese nrarseá Ja deli beración del congreso-general; á !a manera qué el mismo,, príncipe Metternich tuvo en Toeplitz conferencias particulares;con él .pfíneipe de Hardemberg an tes que se entablasen las de Carlsb…</t>
  </si>
  <si>
    <t>Mezquita, Josef Chueca y</t>
  </si>
  <si>
    <t>Josef Chueca y Mezquita</t>
  </si>
  <si>
    <t>…el despacho de la imprenta Real. ; Versión parafrástica castellana del oficio y misa de la festividad del Santísima Sacramento y su octava, según el Breviario y Misal-romano, por D. Josef Chueca y Mezquita, doctor en derecho &amp;c. E11 esta octava del Corpus se celebra lo mas su&gt;&gt; blime que la Iglesia tiene en sus misterios, pues sin nota de exceso se podrá decir que en este se anuncian como de lleno las glorias del Señor, y se hace honroso recuerdo de las obligac…</t>
  </si>
  <si>
    <t>Mi</t>
  </si>
  <si>
    <t>…ejo Real y Supremo. A D. Josef Cavanilles, decano de la' Sala de alcaldes de casa y corte.' Honores del mismo Consejo. A D. Alejandro Dolarea, ministro del Consejo de las Ordenes; D. Mi guel Antonio Bianes, regente de la chancillaría de Valladolid ; D. Francisco Fernandez del Pino, regente de Ja audiencia de Extremadura. Honores del Consejo de las Ordenes. A D. Agustín Fivaller, deán y canónigo de la santa iglesia" catedral de Barcelona, y s…</t>
  </si>
  <si>
    <t>…, y el subteniente D. Francisco Carraledo, y unos 86 individuos de tropa; habiendo sido heridos de este cuerpo el capitán comandante accidental D. Juan Delgado, y los subtenientes D. Mi guel Rubio y D. Nicolás Baronesi, y 5 7 soldados. Del cahtotl del Potrero han muerto el capitán llamado Timoteo, 4 sargentos y i8&gt; soldados, y han sido heridos el capitán D. Julián Matos y 8 soldados. Del de Huere han muerto 2 sargentos y 10 soldados, y 7 her…</t>
  </si>
  <si>
    <t>Mi, Miguel Josef Si</t>
  </si>
  <si>
    <t>Miguel Josef Si Mi</t>
  </si>
  <si>
    <t>…lo: lá poblácioñ de la villa'és dé &lt;6bo’ vecinos ó algo mas. Los que quieran obtenerla deberán ácüdir al ayúntamiéntó con su‘s' memoriáles ó solicitudes, pop medio dé su escribano D. Miguel Josef Si Mi guel ,&lt;eñ todo el-mes de Setiembre próximo. ...... . _ .. . . £ , ; 1 EN LÁ IMPRENTA REAL.</t>
  </si>
  <si>
    <t>Michana, Matías</t>
  </si>
  <si>
    <t>Matías Michana</t>
  </si>
  <si>
    <t>…f Jiménez, Don Juan Pedro Isr.si, D. Miguel Infante, D. Josef Aguirre, D&gt; Alonso Reina; D Josef Garci, D. Ramón Porta, D. Francisco Marín, D. Manuel Capace te , D. Josef Morales , D. Matías Michana, D. Gregorio de Casadevals, Don Miguel Fassia, D. Manuel Gómez, D. Miguel Reina y D. Manuel Rojas. - Valladolidá'S de Julio. • ! , n ;• / La Real sociedad económica de esta capital y provincia celebró ehlj/tardé del 26 del corriente la junta públicay solemne…</t>
  </si>
  <si>
    <t>Michelena, Ignacio de</t>
  </si>
  <si>
    <t>Ignacio de Michelena</t>
  </si>
  <si>
    <t>…y gobierno. El Rey nuestro Señor se ha servido nombrar sus Secretarios con egercieío de decretos á los oficiales de la secretaría de Estado -y del Despacho de Ha cienda de Indias D. Ignacio de Michelena, D. Josef María del Rio, Don Francisco de Paula Leunda y D. Josef de Noriega y Posada. De orden del Gobierno se han suspendido1 hasta nuevo aviso las oposicio-, nes á las cátedras de agricultura de Valíadolid, Palencia y Baena. Lo que se hace saber al público…</t>
  </si>
  <si>
    <t>Micheo, Jfosef Antonio</t>
  </si>
  <si>
    <t>Jfosef Antonio Micheo</t>
  </si>
  <si>
    <t>…re interesarse en la subasta acudirá á dicho tribunal por ante el citado escribano. t D. Joaquín de Labarrieta, del comercio de Cádiz, recibe por el navio de guerra «Asia, maestre D. Jfosef Antonio Micheo, cierta cantidad de pesos, para que en re presentación del Dr. D. Josef León Lobo Guerrero, doctoral de la santa iglesia de .Monterey, la entregue á los hijos de Doña Francisca Marín, casada que fue con Don Manuel García Puente en la villa de. Tamaron; á los…</t>
  </si>
  <si>
    <t>Mieg, J.</t>
  </si>
  <si>
    <t>J. Mieg</t>
  </si>
  <si>
    <t>…o por el gabinete de Historia natural de Madrid, ó descripción sucinta y divertida de los principales objetos de zoologia que ofrecen las salas de esta intere sante colección, por D. J. Mieg, profesor de física y de química en el Real Pala cio: un tomo en 8.°, de 512 páginas, adornado con una viñeta. En casi todas las naciones cultas se han impreso catálogos ó descripciones mas ó menos completas de sus principales establecimientos pertenecientes…</t>
  </si>
  <si>
    <t>Migad</t>
  </si>
  <si>
    <t>…Narciso López, y se puso en movimiento el egército, hábíérido lle gado al salir el sol al paso Marrereño, que tenían también fortificado. ,, Al momento atacó el miriscal de campó D. Migad de la Torre despre ciando el vivo fuego de fusil que nos hacían , á que se correspondió vigorosa mente por nuestra parte, indicando.pasar ppr alli las fuerzas principales; del egército. * • ¡ iS,, Entre tanto, y á muy corta distancia, hice conducir seis peque…</t>
  </si>
  <si>
    <t>Migue</t>
  </si>
  <si>
    <t>Caula y D. Pedro Fernandez; los subtenientes D. Migue! Rubio y D. Nico lás Baronesi, y el abanderado D. Leonardo del Valle. También son acreedo res á la estimador, de V. E. ei espitan comandante del cantón de Chaguaramal D. Hilario Torralba, y los capitanes D. Julián Matos y D. Josef Ga briel Hernández , como ta…</t>
  </si>
  <si>
    <t>Miguel</t>
  </si>
  <si>
    <t>…noche en el cónvento de capuchinos de Faino. Finalmente, llegó el 9 de este mes á su residencia de Lucerna, y fue recibido con repique de campanas y salvas de artillería. El gran duque Miguel, hermano del Emperador de Rusia, llegó anteayer á esta ciudad, y se apeó en casa .del general de laHarpe, donde ha estado S. A. I. alojado, hasta anteayer que tomó el camino dé Ginebra y de Turin con su comitiva y el dicho general la Harpe, que acompañará á S…</t>
  </si>
  <si>
    <t>…conferencias con el reis-effendi, y que, según parece, reina la mejor inteligencia en las relaciones diplomáticas que tienen entre sí. ; ,.E1 príncipe de Carignan acompaña al gran duque Miguel, hermano del Emperador de Rusia, en su viage por los estados de S. M. Sarda. ..... Este-año habrá cuatro eclipses invisibles en Europa; pero probablemente causarán mucha admiración y susto en las costas de la Nueva-Zelandia, de la Nueva-Holanda,. de Guinea, d…</t>
  </si>
  <si>
    <t>…ord Combermere ¿ gobernador de la Barbada. • En Roma se hallan actualmente reunidos muchos, personages, como el Príncipe Nicolás de Estherazy, el conde de Capo de Istria y el gran duque Miguel.&amp;C.M: • i- o , '&gt; •&lt; "{ . -.«V.-í?? -■:&gt; Parece que se están tratando en Francfort las diferencias pendientes entre rJ • ¡ \y,ila Bavieray el gráóducado de¿ Badén.' * ’ Todavía sé dilatará algún tiempo la sésion de los Estados generales de los Países-Bajos, p…</t>
  </si>
  <si>
    <t>…n espectáculo por la primera vez vis to en éstas provincias. : A las cüatro dé lá tarde* estaban formadas las divisiones y los cuerpos. A su cabeza se hallaba el mariscal de campo D. Miguel de la Torre, quien sa lió'áíecibir á S. E., el cual después de revistarlos mandó varias evoluciones, que fueron egecutadas con una destreza inexplicable. No podía decidirse fá cilmente , y aun el mismo general en gefe dudó si sobresalían mas el lucimien to y…</t>
  </si>
  <si>
    <t>…istro de los Es tados-Unidos cerca de la corte de Stockolmo;, Mr. MordvinofF, almirante ru$0; el Príncipe de Kaunitz ¿ embajador de Austria cerca de la Sta. Sede; S. A. I. eí gran duque Miguel, que tuvo el día 29 del corriente una audiencia parti cular de S. S. y rué recibido con la mayor distinción; Mr. de Garaman, em bajador de Francia cerca -de la corte de Ví&amp;na; Mr. de Krusemark&gt; embaja dor de Prusía cerca de la misma corte; el Príncipe deParta…</t>
  </si>
  <si>
    <t>…¡ ayer' á las doce y *la Princesa y medialia del rná 4J€&gt;ñ 'dífec'cifcíiS ^Byujasf^doiidé les íieiiéit dispuestas magníficas funciones. El día 26 de Mayo llegó á Lemberg el. gran duque Miguel, y sin hacer patada-tomó1 el-Cátnínó dé' PCtéísbiirgo: &gt;' m '.i--;::: '-n i ! ; ; -íll ■/. ■ 1A-, -r! el. r- • . ' . » , A ÑÁ. GRAN BRET Londres i$&gt; de ¿ünio. Los debates de la Cámara de los Comunes en la sesión de ayer noche ¡fueron mny- acalorados , y según…</t>
  </si>
  <si>
    <t>…aciendo arrojarse al rio los demás. Han contra!-1 do singu-Iar mérito los tenientes de carabineros D. Francisco Orcialy D Fran cisco Alvarez , siendo herido el primero; el alférez D. Miguel. Guzman, el sargento primero Santos Miguel y el segundo Venancio Rodríguez, y el distinguido D. Pedro Acosta. Lo comunico á V- S. para su conocimiento y satisfacción. Dios guarde á V. S. muchos años. Trapiche de la Gamarra 27 de Marzo de 1819. == Josef Pereir…</t>
  </si>
  <si>
    <t>Miguel, Juan</t>
  </si>
  <si>
    <t>Juan Miguel</t>
  </si>
  <si>
    <t>…Editarás [en N a v.irr.¡) /p de Enero. El dia i 2 de Noviembre de 9 á 12 de la mañana celebraron los alumnos de esta escuela de primeras letras, bajo la dirección de sus maestros D. Juan Miguel deGoñi é hijo D. [osef Francisco, exámenes públicos de doctrina, leer, escribir, aritmética, gramática y ortograf ía castellana ante el cura párroco, el ayuntamiento , y un numeroso concurso que acudió al acto. La prontitud y pro piedad con que conrest ;ron á…</t>
  </si>
  <si>
    <t>Miguel, Severo</t>
  </si>
  <si>
    <t>Severo Miguel</t>
  </si>
  <si>
    <t>321</t>
  </si>
  <si>
    <t>…reino hispano. Madrid 26 de Marzo. ** ARTICULO DE OFICIO. Por Real resolución de i.° del presente mes, á consulta del Consejo su premo de la Guerra, se ha servido S. M. concederá D. Severo Miguel, ciru jano, residente en la villa de Navalcarnero, el fuero militar y uso de uni forme de practicante primero de cirugía, que le corresponde como comprendido en la Real órden circular de 19 de Junio de 1815, por haber servido en esta clase en la última campañ…</t>
  </si>
  <si>
    <t>Mikan</t>
  </si>
  <si>
    <t>tnral que recogió en el Brasil el profesor Mikan, y todos los domingos se da entrada al público para que los vea. : : Ha concluido el Archiduque Carlos su historia de la famosa campaña de. 1799. También se continuará y acabará la obra del difunto general Stutterheim sobre la campaña de 1809, y. el general L…</t>
  </si>
  <si>
    <t>Mira-Abdul-Hussin-Kan</t>
  </si>
  <si>
    <t>. . ser los antiguos Emperadores de PersSá, pira S. M. el muy grande Emperador; y viene conmigo el ministro Mira-Abdul-Hussin-Kan, que residirá Acerca de esta poderosa corte; y después de háber yo cimentado la amistad entre am bas altas cortes, deberé continuar mi viage.” Respondió el ministro de Negocios extrangeros en nombre de S. M. lo siguiente, que tradujo al persa el intérprete de…</t>
  </si>
  <si>
    <t>Mirechi</t>
  </si>
  <si>
    <t>…tre de este año, y á adelantar el impor te del tercero. Este cuaderno Contiene un dúo de la ópera Otelo,.; música del céiér bre maestro Rossini: upa? polaca, para piano-forte, del caballero Mirechi, ty una marcha^ fúnebre á la temprana y sentida mqerte de la Rbiña nuestra Señora Doña María Isabel pe ^raganza i q. e* e. g.4 del maestro Á. Inzenga, napolitano.- En los álmacéñes de música de la cálle dél Turco y carrera de S. Gerónimo , y en toda» '-fes ca…</t>
  </si>
  <si>
    <t>Mirza-Abdul-Kassan-Kan</t>
  </si>
  <si>
    <t>…che del conde de. la Live, introductor dé embajadores: después cuatro co ches de palacio tirados de seis y de ocho caballos: luego otro también de ochp caballos, en eí éUal iba él embajador Mirza-Abdul-Kassan-Kan, acompañado del duque de la Vauguyon, Par de Francia, del marques de Brezé , primer maestro de ceremonias, y del barón Daubié, gentilhombre de Cámara. El ultimo coche, que era el del embajador, le ocupaba su secretario, quien llevaba en la mafnó’ una vara de…</t>
  </si>
  <si>
    <t>Miseres, Miguel de</t>
  </si>
  <si>
    <t>Miguel de Miseres</t>
  </si>
  <si>
    <t>…celemines, vale cada fanega á 310 rs.,’ y todá ella, 775: otra dicho;término al sitio de Portillejo, de caber 5 fanegas, io celemi nes y ^.estadales, lihdaá oriente «on tierra de D. Miguel de Miseres, á mediodia y, poniente cort tierras del- estado de Chinchori, á norte con la vereda de la Alean*tardía, vale cada fanega á:3_io rsV, y toda ella 1821 rs. y 8 mrs.-: otra en dicho-tér-; ihino al camino de Sacedon, de,.caber -j. fanegas y 6 celemines, linda á…</t>
  </si>
  <si>
    <t>Mitjana, Rafael</t>
  </si>
  <si>
    <t>Rafael Mitjana</t>
  </si>
  <si>
    <t>…manifestado de que se propa guen y hagan Cóniunes^ principios de Ja ciencia económica, y en general las luces-sobre todas , las de aplicación. El dia 2 de Junio leyeron Jas suyas D. Rafael Mitjana y í). Ramón Pacanins, aquel sobre si conviene que los Gobiernos sean productores para fomentar la producción general y la ri queza, proposición 62, y este sobre compañías privilegiadas, proposición 51: contestaron ficótt mucho- acierto á-las preguntas que les…</t>
  </si>
  <si>
    <t>MlguelGon-r</t>
  </si>
  <si>
    <t>…to D. Juan Antonio-Cuervo* . „ Por la audiencia del Sr. D„ Manuel Josef Rubio , del Consejo dé SI M.-p tenien te co regidor de esta muy heroica viUar» y escribanía del n^tnero dé .D. MlguelGon-r zafo, se ha mandado sacar á pública subasta.por término de 30 días, condados desde el día 9 del comente, tres, casas, sitas en, las calces de Santiago el Verde y del Sol,</t>
  </si>
  <si>
    <t>Moctezuma, Estébañ</t>
  </si>
  <si>
    <t>Estébañ Moctezuma</t>
  </si>
  <si>
    <t>…a tropa, y están dispuestos á defender sus hogares de los rebeldes que traten de iñeomoaarlos. ,,E1 pueblo de Ario, entrada de la tierra caliente, le está reedificando el ca pitán D. Estébañ Moctezuma, teniendo concluidos dos jacales para el abrigo de la tropa. ,,E1 teniente coronel D. Vicente Lara salió de esta plaza para la de Patzcuaro con la asignación de tabacos para los puntos de su cargo, y á continuar la persecución de Torres y Huerta. Por ella, y…</t>
  </si>
  <si>
    <t>Modesto, Juan</t>
  </si>
  <si>
    <t>Juan Modesto</t>
  </si>
  <si>
    <t>*518 -cia de Valencia; y para dos del crimen de la audiencia de Extremadura, va cantes por promoción de D. Juan Modesto de la Mota á oidor del mismo tri bunal , y traslación de D. Fernando Josef de Toledo y el Corral á otra de igual clase de la de Valencia, á D. Vicente Fuster y á D. Vicente Lisa y las Balsas, también alcaides del crimen de la expresada audiencia de Valencia.…</t>
  </si>
  <si>
    <t>Modet, Miguel Ramón</t>
  </si>
  <si>
    <t>Miguel Ramón Modet</t>
  </si>
  <si>
    <t>….promoción de Don Francisco Xavier Manzanos á regente de la de Quito, á D. Nicolás Arana jCalbache: parada plaza de oidor de la Real audiencia de México, vacante por traslación de D. Miguel Ramón Modet, i D. Juan Josef Recacho: para Ja fiscalía del crimen de .la Real, audiencia.de Quito, vacante por ascenso de D. Vicente Rodríguez Romano á -la.-déalcalde del crimen de la de Lima, á D. Eugenio. Batanero: para la iplaz'ade gsesor del gobierno é intendencia de…</t>
  </si>
  <si>
    <t>Moerner</t>
  </si>
  <si>
    <t>Núm. 3. - %f.ó?ártos.J 17 ■ - &lt;r GACETA DE MADRID DEL JUEVES 7 DE ENERO DE 1819. SUECIA. , Stockoltno 24 de “Noviembre, El feld-mariscal conde Moerner, que fue gobernador de Noruega, ha* re nunciado el empleo de gobernador general de esta plaza, y todas sus digni dades militares: se habla con variedad del motivo de estas renuncias, y no dejan de hacer impresión. . , DINAMARCA. Copenhague 8 de Diciembre. Est…</t>
  </si>
  <si>
    <t>Moerner, S.</t>
  </si>
  <si>
    <t>S. Moerner</t>
  </si>
  <si>
    <t>…ición , la cual no puede menos de ser útilísima á las ciencias. SUECIA. ' - , ' i i • í * . • i ■ Stockolmo 14 de. Mayo., Sigue con mucha actividad la obra del, canal de Gpeta. El general S. Moerner mandará este año las tropas empleadas en él, y ya están reunidos 600 hombres. También quedará concluido, en todo este año el canal llamado f$je Soedertelge, á tres leguas de esta corte; y dando por este medio una nueva comunicación al lago tyíoeler con el mar…</t>
  </si>
  <si>
    <t>Mojo, Luis María de</t>
  </si>
  <si>
    <t>Luis María de Mojo</t>
  </si>
  <si>
    <t>IQ79 xíno, teniente coronel graduado ídem; P. Rafael de' Qúesadá, teniente: coro nel; D. Luis María de Mojo, barón de Juras Reales, fiscal de la Real audien cia de Chile; D. Manuel Ovarrio Fernandez , contador que fue del tribunal ¿e Cuentas de Buenos-Aires; D Josef Miguel de Muros, teniente de fragata; D. Jacinto Gil de Castro, teniente coronel; D. Josef Aloy , íd…</t>
  </si>
  <si>
    <t>Mole</t>
  </si>
  <si>
    <t>…ce larga su enfermedad. Ha admitido el Rey la dimisión que ha hecho S. E. del ministerio, asi co mo las-del barón Pasquier, guarda-sellos ;de Mr. Lainé, ministro dei Interior? del conde Mole, ministro de Marina, y de Mi. Roy, ministro de Hacien da: en consecuencia- ha nombrado S. M. al marques Desole, teniente general y par de Francia jipara la presidencia del Consejo de los ministros y el ministe rio de Negocios extrangeros; al conde Decazes’par…</t>
  </si>
  <si>
    <t>Molina, Francisco</t>
  </si>
  <si>
    <t>Francisco Molina</t>
  </si>
  <si>
    <t>…d aplicada. Los 4 mayores á D. Manuel Llera, D. Gabriel Gómez , de Cádiz , IX'Jósef dé Rute y á D. Josef Mendoza, que fueron los que mas sobresalieron. Lósl 20 menores restantes á D. Francisco Molina, al guardia de la Real Pérsona Di Jo sef V idaurre, D. Rafael Rico, D. Celestino Arel lañó, D. Josef Jiménez, Don Juan Pedro Isr.si, D. Miguel Infante, D. Josef Aguirre, D&gt; Alonso Reina; D Josef Garci, D. Ramón Porta, D. Francisco Marín, D. Manuel Capace te ,…</t>
  </si>
  <si>
    <t>Molina, Josef Fernandez</t>
  </si>
  <si>
    <t>Josef Fernandez Molina</t>
  </si>
  <si>
    <t>…primero á D. Federico de Victoria. Dibujo, primero á D. Francisco Semprun. Idem segundo á D. Juan Ramón. Paternina. Idem ter cero á D. Pedro Bergé. Gramática castellana, primero á D. Josef Fernandez Molina. Idem segundo á D. Gregorio de Olaeta. Gramática francesa, prime ro á D. Miguel de Mazarredo. Idem segundo á D. Francisco Semprun. Gra-* mática.latina, primero á D. Ladislao Pedro de Ochoa. Idem segundo á Don Antero Tutor. Matemáticas puras, primero á D. Bart…</t>
  </si>
  <si>
    <t>Molina, Julián Giraldo y</t>
  </si>
  <si>
    <t>Julián Giraldo y Molina</t>
  </si>
  <si>
    <t>…año, D. Julián Velarde y Santillan, D. Josef Abev11a y Conde, D. Juan Teran y Caldera , D. Juan DFIerve y Paredes, Don Francisco Navas Garro de Ulloa, D. Antonio Solís y González, D. Julián Giraldo y Molina, D. Joaquín Muñoz y Larraiñzár ¿ D; Salvador Hidalgo y Sarria, D. Juan Labastida y Bustamante, D. Vicénfe MazeyLizknn de Cano Manuel, D. Cayetano Vivanco y Young, D Josef Avila y Miranda, Don Antonio Ibañez y Ortega, D. Gregorio Aso Travieso, D. Mariano Ferna…</t>
  </si>
  <si>
    <t>Molina, Manüelde</t>
  </si>
  <si>
    <t>Manüelde Molina</t>
  </si>
  <si>
    <t>…8, 54,8/6, 54,880, 36;5o8 y 54,814, dé cuya demándase ha comunicada traslado á las personas que’ tengan- derecho á dichos vales Reales ,‘y en particular á D. Josef de; Melgarejo y D. Manüelde Molina; en su consecuencia se Ie3 cita, llama y emplaza á todos5 para que dentro' del término de 30* dias, contados'desde el eil que se insérteeátea nuncio, acudan ante dicho señor y citada escribanía á deducir y exponer lo qiíe; á su derecho convenga; con apercibim…</t>
  </si>
  <si>
    <t>Molina, Tuan Jósef</t>
  </si>
  <si>
    <t>Tuan Jósef Molina</t>
  </si>
  <si>
    <t>…é 19 dé Junio! dé .1815 , por haber servido en ésta *lase en las bóticas militares de cámpaña durante lamltima guerra. t Por otra de 7 del mismo mes se ha servido S. M. conceder á D. Tuan Jósef Molina , médico de la ciudad de Orihuela, el fuero militar y uso de imiformé dé practicante de humero de'medicina de egército, que le corres ponde por él artículo 3.0 de la referida circular. -f -Po/ otra de 9 del propio mes sé ha servido S. M. conceder á D. Fran ci…</t>
  </si>
  <si>
    <t>Mollieu</t>
  </si>
  <si>
    <t>…conde de Montalembert, nuestro ministro plenipotenciario cerca de S. M. el Rey de Wurtemberg, al teniente general conde Mauricio Mathieu, al consejero de Estado barón Monnier, al conde Mollieu, al conde de Montalivet, al teniente general conde Marescot, al conde de Montesquiou, al conde de.............., al conde de Pontecoulant, á nuestro primo el duque de Plasencia, al mariscal de campo marques de Pange, al consejero de Estado conde Pelet de la L…</t>
  </si>
  <si>
    <t>Mon, Luis Ramírez</t>
  </si>
  <si>
    <t>Luis Ramírez Mon</t>
  </si>
  <si>
    <t>…ra del Real palacio, D. Ramón Aguiriano, que hacia las de maestro de ceremonias, D. Blas-Prats, D. Domingo María Tordera, D. Antonio Bermejo, D. Tibureio Saez, D. Leandro Alvarez, D. Luis Ramírez Mon sal ve, D. Agustín de la Rica * D. Julián Arrea, D. Antonio Ramírez de Arellano y D. Pedro Gil; después de haber cantado nuevamente solemnes responsos la Real capilla, presidida por el limo Prelado, á la una y media principió la marcha de la Real comitiva, qu…</t>
  </si>
  <si>
    <t>Monasterio, Juana</t>
  </si>
  <si>
    <t>Juana Monasterio</t>
  </si>
  <si>
    <t>…o, entre otras cosas, llamar y emplazar, como se egecuta por el presente, á Doña Feli pa. Aívarez, viuda de D. Lorenzo Miguel Monasterio, y: á sus .dos hijos D. Domin go Antonio y Doña Juana Monasterio, y á los herederos y sucesores de una y otros para qüe en&gt;¡el término*de 30 cóntados desde dicha fecha, comparezcan en el juzgado de S. S. y, escribanía de Dj Alfonso de Yévenes,, á decir sobre el derecho que puedan tener á la pertenencia de seis acciones de…</t>
  </si>
  <si>
    <t>Monasterio, Lorenzo Miguel</t>
  </si>
  <si>
    <t>Lorenzo Miguel Monasterio</t>
  </si>
  <si>
    <t>…or dé esta muy heroica villa, su fecha .20 de Enero último» se ha mandado, entre otras cosas, llamar y emplazar, como se egecuta por el presente, á Doña Feli pa. Aívarez, viuda de D. Lorenzo Miguel Monasterio, y: á sus .dos hijos D. Domin go Antonio y Doña Juana Monasterio, y á los herederos y sucesores de una y otros para qüe en&gt;¡el término*de 30 cóntados desde dicha fecha, comparezcan en el juzgado de S. S. y, escribanía de Dj Alfonso de Yévenes,, á decir sobre…</t>
  </si>
  <si>
    <t>Monica</t>
  </si>
  <si>
    <t>…niente corregidor de esta muy heroica villa, se eirá , llama y emplaza á to das las personas que: con cualquier motivo ó causa se creyeren con derecho á los bie nes intestados de. Doña Monica y Doña Nicolasi: Flanco, viudasr de;0. Sebastian Brichi y D, Domingo Egequi, vecinas que fueron de esta corte, y fallecieron en ella la primera á 26 de Febrero de 1806, y la segunda en 2 2 del 'mismo mes y año de 1812 , para que én el preciso y perentorio término de 10 dias,…</t>
  </si>
  <si>
    <t>Monnier</t>
  </si>
  <si>
    <t>…atour-Maubourg, al conde de Montalembert, nuestro ministro plenipotenciario cerca de S. M. el Rey de Wurtemberg, al teniente general conde Mauricio Mathieu, al consejero de Estado barón Monnier, al conde Mollieu, al conde de Montalivet, al teniente general conde Marescot, al conde de Montesquiou, al conde de.............., al conde de Pontecoulant, á nuestro primo el duque de Plasencia, al mariscal de campo marques de Pange, al consejero de Estado c…</t>
  </si>
  <si>
    <t>Monreal, Alejo de</t>
  </si>
  <si>
    <t>Alejo de Monreal</t>
  </si>
  <si>
    <t>…os. Sres marqueses de Almónacid y condesa de los Arcos Doña Josefa de Figueroa. 4.0 Los títulos de propiedad de un oficio de procurador de los Reales Con sejos, que correspondió á D. Alejo de Monreal, y antes perteneció á Doña Clara Ortiz de Alensaco, viuda de Domingo de Ochoa, procurador que fue de los Reales Consejos. 5.0 Escritura original de fundación de vínculo y mayorazgo sobre los bie nes y patrimonio que correspondieron á Martin'de Vargas é Isabel…</t>
  </si>
  <si>
    <t>Monroy, Juan</t>
  </si>
  <si>
    <t>Juan Monroy</t>
  </si>
  <si>
    <t>…lará con el tratado de Vígnola y el tratado de Sombras, que con tiene 66 láminas, en la librería de Tieso, calle de las Carretas. , Compendio de ayudar á bien morir, compuesto por D. Juan Monroy, sacerdote de la Compañía de Jesús. Contiene los medios mas eficaces para suministrar auxilio* á los fieles que se hallan .en tan terrible, hora contra cualquiera tentación de quesean acometidos. Es también muy útil para, toda clase de personas que , á falta…</t>
  </si>
  <si>
    <t>Monroy, Luis Lujan y</t>
  </si>
  <si>
    <t>Luis Lujan y Monroy</t>
  </si>
  <si>
    <t>…e de armas de la orden de S. Juan de Jerusalen, y secretario de ía misma; D. Manuel María Segura, escribano de cámara, y secretario del Real Acuerdo de la chancillería de,Granada; Don Luis Lujan y Monroy, subdelegado de pósitos del partido de Arenas-dé-San Pedro, y D. Nicolás María Arizmendi, comisario de Marina graduado. C Ó R'R E.G I D O R ES. De Guipúzcoa. A D. Martin Xavier Muzquiz, oidor del Consejo de Navarra. ' - ' ; De XJtiel. * A D. Francisco Manes.…</t>
  </si>
  <si>
    <t>Montada, Josef</t>
  </si>
  <si>
    <t>Josef Montada</t>
  </si>
  <si>
    <t>…fuero militar y ufo ce uni forme de practicante'de farmacia de egército á D. I&lt; amen Babailé , residente en la v.iita- de -Cardona:' á D. Joseí María Chao, en la de Pontevedra: á Don Josef Montada, en la ciudad de Barcelona: á D. Juan Ferrcr y Giialt, en la villa de Y illafranca del Panadés, y á D.. Gregorio C orrea , en la de Villafrechos provincia de Valladolid ; declarando al mismo tiempo le ha sido muy grata á-S. iVi. la cesión que respectivamente…</t>
  </si>
  <si>
    <t>Montalvo, Bartolomé</t>
  </si>
  <si>
    <t>Bartolomé Montalvo</t>
  </si>
  <si>
    <t>…? unos fruteros y floreros de D. Francisco Lacoma.y D. Miguel de Parra, cua tro cuadros que representaban varias aves y animales muertos y una pollera con unas gallinas hechos por D. Bartolomé Montalvo, y una multitud de pinturas al oleo, de miniatura, de lápiz, de tejidos de seda, de recortes de papel, todo de buen gusto; siendo de notar que la mayor parte son obras de señoritas particulares y de algunas íde las discípulas de las escuelas de dibujo qué sos…</t>
  </si>
  <si>
    <t>Montalvo, Francisca Javiera de</t>
  </si>
  <si>
    <t>Francisca Javiera de Montalvo</t>
  </si>
  <si>
    <t>…haya_ lugar. En virtud de providencia del juzgado de estx capitanía general de Castilla la Nue ra se cita, llama y emplaza ai señor marques de Zafra, albacea de la Excma. Seño ra Doña Francisca Javiera de Montalvo, viuda que fue del Excmo. Sr,. D. Joaquín de Fonsdeviela, teniente general de los Reales egércitos, y á los acreedores y demas interesados que se crean con derecho á.los bienes de la testamentaría de la misma se ñora, cuyos autos penden en este tribunal, para…</t>
  </si>
  <si>
    <t>Montalvo, Francisco</t>
  </si>
  <si>
    <t>Francisco Montalvo</t>
  </si>
  <si>
    <t>…es que disfrutan los oficiales, tropa y fondos de los regimientos de caballería del egército desde i.° de Junio de 1815, con arreglo al Real reglamento de dicho año. Corregida por D. Francisco Montalvo, teniente del regimiento de caballería de Numancía, segundo de Cazadores, y aprobada por el Excmo. señor inspector general de Ja arma D, Diego Ballesteros. Se hallará en las librerías de Matute y Rodríguez, calle de las Carretas. Discurso sobre la honra y des…</t>
  </si>
  <si>
    <t>Montano, Manuel</t>
  </si>
  <si>
    <t>Manuel Montano</t>
  </si>
  <si>
    <t>…buen porte, valor y serenidad con que se condujeron los'beneméri tos oficiales teniente de la caballería urbana deTulancingo D. Marcos Moreno, y subteniente del primero Americano D. Manuel Montano, me obliga de. jus ticia á recomendarlos á V. S., pues el primero mandó con grande acierto la partida que traía á su cargo , y el segundo desempeñó cumplidamente las ven ces de ayudante, como asimismo en sus ciases los sargentos, cabos y tropa. ,, El cadáver…</t>
  </si>
  <si>
    <t>Monte, Pedro Alfonso Flores</t>
  </si>
  <si>
    <t>Pedro Alfonso Flores Monte</t>
  </si>
  <si>
    <t>…cha por Doña María Josefa de Bárcena y D. Francisco Alonso de Usategui su hijo, su fecha 8 de Diciembfe de 17.16. v ' '&gt;'!-■■■ ¡ ‘ - *•- ;• •5:0 Egecutoria obtenida á pedimento de D. Pedro Alfonso Flores Monte negro , vecino de la villa -de Brozas , en el pleito que ha tratado cón el cóh&lt;cejo de la villa de Alcántara sobre alimentos, su fecha en Granada 8 de Julio de 1619, refrendada del escribano de Cámara Palomares. J 6.° Testamento del P. Fr. Luíz Muñoz ^religio…</t>
  </si>
  <si>
    <t>Montealegrc, Josef Arenas</t>
  </si>
  <si>
    <t>Josef Arenas Montealegrc</t>
  </si>
  <si>
    <t>…aría Losada, rmiger de Manuel Herencia, se radicaron los autos corres pondien tea e« el juzgado de I\ josef Tagie Bustamante, asesor, teniente gobernador deí misino, escribanía de D. Josef Arenas Montealegrc, en los cuales, por no aparecer here deros conocidos de aquella, se ha pedido, y mandó por providencia de 17*de No viembre último, fijar tres edictos y anuncios por el término de 14 meses, para ¿que los que se contemplen con derecho á sus bienes acudan á dedu…</t>
  </si>
  <si>
    <t>Montegre</t>
  </si>
  <si>
    <t>r Por üítimd leyó. Mr. de Jussieu tmanoticia sobre .los Individuos de la sociedad qüe habían fallecido desdela ultima sesión general que celebróy son el abaré Gautier, el doctor Montegre, y losSres.Moreáu de Saint-Mery y Mesnier. - '■ '/ v, . ’ ‘ 1 Seguidamente se nombró presidente de la sociedad á Mr. de la Vaugu-ri yon, Par de Francia , en lugar de Mr. dé la Rochefoocauld , que fue elegido ; • . »vice-presidente. • - • ... -V:„. éspaña. - .…</t>
  </si>
  <si>
    <t>Montenegro, Joaquín</t>
  </si>
  <si>
    <t>Joaquín Montenegro</t>
  </si>
  <si>
    <t>…ficial mayor menos an tiguo de la secretaría del Despacho de Gracia y Justicia, y D. Anastasio Francisco de Arraenteros, brigadier de los Reales egércitos. Mayordomos de Semana. A D. Joaquín Montenegro; D Santiago Mendez de Vigo; D. Manuel de Rosales; D. Indalecio de la Torre; conde de Zanoni, y D. Luis Nieulant y Altamirano. Honores de secretarios del Rey. A D. Josef de la Torre y Sainz, y D. Francisco Blasco y Tejedor. Plazas supernumerarias de gentilesho…</t>
  </si>
  <si>
    <t>Montenegro, Miguel Ovario</t>
  </si>
  <si>
    <t>Miguel Ovario Montenegro</t>
  </si>
  <si>
    <t>…la á su padre, que vive casa del pasadizo del .Rastro, cuarto bajo, número 10. D. Blas Navarro, comerciante y residente en la ciudad de la Goruña, desea sa ber de los herederos de D. Miguel Ovario Montenegro para comiínicarlcs un asunto que les interesa. En la villa de Haro, obispado de Calahorra, provincia de Rioja, se halla vacante la obra pia de la agonía con la obligación de ayudar al cura párroco y sus tenientes en el cargo de auxiliar á los moribundos del p…</t>
  </si>
  <si>
    <t>Montero, Anselmo</t>
  </si>
  <si>
    <t>Anselmo Montero</t>
  </si>
  <si>
    <t>…su paradero .para que la den en Madrid en la mayordomía mayor de Palacio á D. Angel Lomi llo, portero de ella* y en Burgos á D. Jacinto Cilleruelo, ó escribiendot en dere chura á D. Anselmo Montero por Burgos Huermeces. En defecto de la existencia de estos son llamados al goce de dichas vinculaciones los hijos y sucesores de D. An tonio Montero Rodríguez de Ubierna, que por tos años de 1793 se hallaba en Mé xico comandante de inválidos de aquella, plaza…</t>
  </si>
  <si>
    <t>Montero, Antonio</t>
  </si>
  <si>
    <t>Antonio Montero</t>
  </si>
  <si>
    <t>…;/.6ot Num, 455. ^D. -Jí A; 40. Num. 456; Doña M. H. 20. Npm.! 4(17., D¿ F. B. 400: Num. ’ 458.; La comunidad de padres Agustinos de;S. Felipe el Real de esta corte 400. Núm. 459. D. Antonio Montero 80. Núm. 460. El Emo; Sr. cardenal 'de-Scala, arzobispo de Totedo, 10®..Núm. 461. D. N’. 40 Núm. 462. Los ~\3tés. cuestores del cuartel de la Plaza, por-iá demanda semanal* Í2872 rs/y 20. mrs. Num. 463. D. J. G 100. Núm.- 464.fD¿. 'N. 10. Núm. 46^'. Sr .©. -V…</t>
  </si>
  <si>
    <t>Montero, Josef</t>
  </si>
  <si>
    <t>Josef Montero</t>
  </si>
  <si>
    <t>…sepan de su paradero lo anuncien, y que cualquiera de los dos sucesores son preferidos al goce de dichos vínculos, y antes que el dicho D. Anselmo y sus hermanos, por provenir de D. Josef Montero, hermano menor, y que uno ú otro le dirijan los correspondientes poderes con los documentos que acre diten su existencia y legitimidad; previniéndoles que como no sea las cláusulas de bau tismos y casamientos de ios dichos, todo obra en poder dei mismo, y tam…</t>
  </si>
  <si>
    <t>Montero, Juan Nepomuceno</t>
  </si>
  <si>
    <t>Juan Nepomuceno Montero</t>
  </si>
  <si>
    <t>…ificado con mucha in teligencia por el teniente coronel de ingenieros D. Francisco PreislCr, y’ há quedado allí una guarnición respetable á las órdenes del comandante de bata llón D. Juan Nepomuceno Montero. Parece pues concluida la campaña de los Llanos en &lt;cuanto las inundaciones ya no permiten operar en etios; y amí cuando la fuga de los rebeldes no lia permitido al egército de S. M. dar gran des .acciones, han perseguido á aquellos hasta los desiertos eti qu…</t>
  </si>
  <si>
    <t>Montero, Narciso</t>
  </si>
  <si>
    <t>Narciso Montero</t>
  </si>
  <si>
    <t>…cia del mismo señor. ; HC&gt;. Anselmo Montero, vecino de Huermeces, de la provincia y arzobispado dq Burgos, desea poner en noticia de D. Fernando Montero Pueyo y Arismendi, hijo de D. Narciso Montero. Rodriguez de Ubierna, y de Doña María Ventura Pueyo y Arismendi, contador que fue en Válencia, y en 1793 se halaba de alcalde mayor en Totepango, en Nueva-España y reino de México, que habiendo fallecido en dicho pueblo de Huermeces Doña Florentina Rodriguez…</t>
  </si>
  <si>
    <t>Montero, Ramón</t>
  </si>
  <si>
    <t>Ramón Montero</t>
  </si>
  <si>
    <t>…M. por su augusto enlace á nombre de la Real iglesia colegial del Real sitio de S. Ildefonso el limo. Sr. arzobispo abad y los Sres. D. Santos Martin Sedeño, canónigo magistral, y D. Ramón Montero, canónigo lectora!; y el primero arengó á SS. MM. en los términos siguientes: " Señor: ,,Del enlace que V. M. acaba de contraer con la mas virtuosa de -las Reinas, el arzobispo abad y cabildo de vuestra Real iglesia de S. Ildefonso esperan que V. M. será feli…</t>
  </si>
  <si>
    <t>Montérosa, María Lóreto Bueno y</t>
  </si>
  <si>
    <t>María Lóreto Bueno y Montérosa</t>
  </si>
  <si>
    <t>…a,' acudirá en la inteligencia de que de celebrarse su rematé para el diá 17 de Abril en el arrabal de Huertas de Aniiííasde la ciudad de Ttujiilo. : Se desea saber el paradero de Doña María Lóreto Bueno y Montérosa , hija de D. Salvador Bueno y Doña María Montérosa , ó de sus. hijos, que en la villa de Bornos / arzobispado de Sevilla, tienen parte de una herencia. •' • D. Andrés Sánchez Izquierdo, capellán mayor de las monjas de D. Juan de AlarCon dé esta corte , dará r…</t>
  </si>
  <si>
    <t>Montes, Pedro Pablo Avellano Lozano y</t>
  </si>
  <si>
    <t>Pedro Pablo Avellano Lozano y Montes</t>
  </si>
  <si>
    <t>…inculta que le corresponden por vertientes y ensanches, linde por oriente con D. Cristóbal Mergelina y D. Josef Ibañez ; por poniente con Doña Francisca Xavíera Lozano , viu da de D. Pedro Pablo Avellano Lozano y Montes; por mediodíasD. Diego Fer nandez Tomas, herederos de Juan Ximenez Lozano, y camino de Yecla para To baría en medio, y por el norte los mónteselas tenajas y toneles existentes en la mis ma .labor para cocer el vino, la prensa, el jaraíz, ornamentos de la ermi…</t>
  </si>
  <si>
    <t>Montesino, Segundo</t>
  </si>
  <si>
    <t>Segundo Montesino</t>
  </si>
  <si>
    <t>…igüal fecha sé ha servido Si. M. conceder el fuero militar y eso de uniforme de practicantes dé farmacia de egército al Lie. D. Blas Garpía, residente 'en la ciudad d'e Astorga; á D. Segundo Montesino, residente eiifla vilÍ'a de Valencia' He Alcántara ,* iprdvíncia de jExtremádura, y. á ‘ D. Sandhlio de'Castro, farmacéutico én es‘ta Corte ;'declarando al mismo tiempo le ha^ si4q muy .grata á S,pM*... la jCésipn. .que.. respectivamente • han hecho de la pen…</t>
  </si>
  <si>
    <t>Montoya, Fernando Solís y</t>
  </si>
  <si>
    <t>Fernando Solís y Montoya</t>
  </si>
  <si>
    <t>…a Reina nuestra Señora; las señoras de honor Doña Manuela Sagarra de Villena y Doña Francisca Taboada de Ariza; los mayordomos de semana marques de Ovieco; marques de Campovillar; D. Fernando Solís y Montoya; D Manuel Centurión , y D. Melchor Montoya; los 12 gentileshombres ae boca y casa D. Benito Pra do, el barón de Casa-Davalillos, D. Josef Navarro del Dosal, D. Antonio deOñativia, D. Antonio Solana, D. Manuel.de Almarza, D. Tomas Norza-f garay, D. Josef Pascu…</t>
  </si>
  <si>
    <t>Montoya, Franchcn</t>
  </si>
  <si>
    <t>Franchcn Montoya</t>
  </si>
  <si>
    <t>…creedor res del primer concurso del difunto marques de Salas para el domingo 27 del cor riente, á las 11 de su mañana, en Ja escribanía de provincia que despacha por habi litación D. Franchcn Montoya; con prevención de que al que no asista le parará el perjuicio que haya lugar. Por el mismo juzgado y escribanía se está subastando una casa de buena fabrica á medio construir en la calle de la Libertad de esta corte, en tre los números 5 y 8 de la manz. go&lt;5…</t>
  </si>
  <si>
    <t>Montoya, Francisco</t>
  </si>
  <si>
    <t>Francisco Montoya</t>
  </si>
  <si>
    <t>…s en las dos terceras partes de su tasación; y para su remate se ha señalado él 16.del corriente á las 12 de $u mañana en la escribanía de provincia que despacha por Habilitación. D. Francisco Montoya. . . . / Quien supiese: el paradero de una señorita catalana, llamada Doña, María'Enr catnacion González, que en el año de 1812 pasó de la ciudad de Palma, en lá isla de Mallorca, á la de Alicante, se servirá manifestarlo al presbítero D. Pedro Crisólogo Bare…</t>
  </si>
  <si>
    <t>…las- posturas que se hicieren siempre que cubran la tasa á metálico. El sábado n del corriente, á las 12 de su mañana, en la escribanía de provincia que despacha por habilitación D. Francisco Montoya, está señalado para el remate de dos casas, sitas en ésta corte, lá un3 en la cálle de Atocha, accesorias á la de San Ildefonso, frente á la costanilla dé los Desamparados, señalada con el núm. 4 de U irnnz. 4: comprende su sitio 5226 pies, tasada en 354,892…</t>
  </si>
  <si>
    <t>…to de los señores del Consejo, y señalado para su nuevo remate el miércoles 5 de Enero próximo, á las 12 de su mañana, en la escribanía de provincia, que despacha por habilitación D. Francisco Montoya. Quien quisiere comprar una hacienda que se vende á voluntad de su dueño, sita en término de la villa de Brúñete y sus inmediaciones, compuesta de tierras labran tías, viñas, olivos, con una casa habitación muy capaz, con oficinas de bodegas, ca ballerizas, b…</t>
  </si>
  <si>
    <t>Montoya, Melchor</t>
  </si>
  <si>
    <t>Melchor Montoya</t>
  </si>
  <si>
    <t>…nuela Sagarra de Villena y Doña Francisca Taboada de Ariza; los mayordomos de semana marques de Ovieco; marques de Campovillar; D. Fernando Solís y Montoya; D Manuel Centurión , y D. Melchor Montoya; los 12 gentileshombres ae boca y casa D. Benito Pra do, el barón de Casa-Davalillos, D. Josef Navarro del Dosal, D. Antonio deOñativia, D. Antonio Solana, D. Manuel.de Almarza, D. Tomas Norza-f garay, D. Josef Pascual Oto , D. * Josef Sesé, D Josef Diez, D.…</t>
  </si>
  <si>
    <t>Monzon, Martin</t>
  </si>
  <si>
    <t>Martin Monzon</t>
  </si>
  <si>
    <t>…ales de 600 pesos,1 creación de i.° de Enero dé 1808, señalados con los números 376,846, 375,382 y 376,770: á D. Joaquín Guerra, á los señores viuda de Nolivos, Campo y compa ñíaá D. Martin Monzon,á Doña Francisca Cadenas, i D. Guillermo Metnbiela, ádX Francisco López de las Herrerías y áJD. Rafael Goirí , ¿ quienes .también se hallan, eindbsados respectivamente nueve vales Reales de 150 pesó?, de la misma creación de i.° de Enero de 808, marcados con…</t>
  </si>
  <si>
    <t>Mora, Josef</t>
  </si>
  <si>
    <t>Josef Mora</t>
  </si>
  <si>
    <t>…n la, del Dr. D. Rosendo Fariñas;,-en ALcarjtjz en La de D. Ramon Villalba; en Caíatayud en ia de D. Lorenzo Gano Beirran; en Un Castillo en la de D. Paulino Gil; en Jaca en la de D. Josef Mora ; en Teruel en la de D. Antonio Herrero; en Zarago za en la del'Lie:’D» Mariano Herrando; en Alicante en la de D. Francisco Sarget; en-Cartagena en/la dcXDr. D. Juan Josef Franco;.en Orihuela en la, de D^Jósef Salón; en Tarragona; en ia-,dei . Dr. D. Juan Bau…</t>
  </si>
  <si>
    <t>Mora, Josef Cabeza de</t>
  </si>
  <si>
    <t>Josef Cabeza de Mora</t>
  </si>
  <si>
    <t>…Morales , alcalde mayor de la Laguna , capital dé Tenerife. • Secretarios del R’sir con egereicio de decretos. - A D. Josef Cecilio de la Rosa; D. Agustín Sojo; D. Manuel Riega, y Don Josef Cabeza de Mora , oficiales de la secretaría de Estado y del Despacho dé Gracia y Juncia de España; D. Antonio Martínez Salcedo y D. Sebastian Hurtado. ' Honores de secretarios del Rey* A Frey D. Josef de Gortari, sirviente de armas de la orden de S. Juan de Jerusalen, y sec…</t>
  </si>
  <si>
    <t>Mora, Manuel</t>
  </si>
  <si>
    <t>Manuel Mora</t>
  </si>
  <si>
    <t>…a creyendo poder defenderse; pero convencido de su cobardía dividí en dos partidas 25 dragoneé que tenia entonces, la una á las ordenes del bizarro teniente de dragones de Moneada D. Manuel Mora,.y la otra á las del capitán graduado D. Átanasio Torrejon, teniente de realistas de Apan, y les mandé cargar á la arma blanca, flanqueándolos por derecha é izquier da. Éste movimiento, y verme á mí avanzar por el frente con los pocos que iban reuniendo, los…</t>
  </si>
  <si>
    <t>Mora, Pascual Moreno da</t>
  </si>
  <si>
    <t>Pascual Moreno da Mora</t>
  </si>
  <si>
    <t>…, se ha formado expediente en 28 dél corriente mes á instancia de I). Juan Antonio Uñarte, de este comercio, en razón de restituir á su poder dife rentes vales Reales que endosó á D. Pascual Moreno da Mora, y este niega haber los pedido ni recibido, por lo que se presume.que el tomador les dió otro destino , y que es falsa y suplantada la firma de Mora en el endoso que se les haya puesto para expenderlos, cuyos vales son. los siguientes: creación de 600 pesos d…</t>
  </si>
  <si>
    <t>Moraíeda, Vaidomero</t>
  </si>
  <si>
    <t>Vaidomero Moraíeda</t>
  </si>
  <si>
    <t>…la de Torija, mím. 12, man zana 55^, perteneciente a la testamentaría de Juan Juárez, radicada en el juzgado del señor alcalde de Corte D. Manuel Eejnandez Gamboa, y escribanía de D. Vaidomero Moraíeda; previniéndose está hecha postura en la cantidad de 28,730 rs. vn. metálicos con varias condiciones. ' Habiendo fallecido en la ciudad de Orduña sin sucesión Doña María Francisca Velez de Calera y Guindo, viuda de D. Santiago de Bañuelos, y poseedora del vín…</t>
  </si>
  <si>
    <t>Moral, Manuel García del</t>
  </si>
  <si>
    <t>Manuel García del Moral</t>
  </si>
  <si>
    <t>…sco Javier Aguiriano, monge cartujo del monasterio de Miradores, como endosan te que parece ser de dos vales Reales de 150 pesos de i.° de Setiembre, números 174504 y 196675 , y á D. Manuel García del Moral, á cuyo favor resulta endosa do otro de igual, valor, núm. 284298, fecha i,° de Enero de 1809, para que en el preciso término de 30 dias comparezcan en el juzgado de dicho señor teniente y es cribanía de.D. Alfonso de Yévenes á usar de su derecho acerca de lo…</t>
  </si>
  <si>
    <t>Moraleda, Baldomero</t>
  </si>
  <si>
    <t>Baldomero Moraleda</t>
  </si>
  <si>
    <t>…nte á la testamentaría de Josef Moreda, radicada én el juzgado de provincia del Sr- I&gt;. Manuel Fernandez Gamboa, del Consejo S. M,» ahalde de su Real Casa y Corte, y escribanía de D. Baldomero Moraleda, Ve ha señalado el •Junes 20 del corriente en la audiencia de dicho señor y hora de las 1 i. Lo que se avi sa al público para su inteligencia. Por el presente se cita, llama y emplaza á todos los acreedores á la testamenta ría de. Josefa Rojo, viuda que fue d…</t>
  </si>
  <si>
    <t>Moraleda, Vaklomeio</t>
  </si>
  <si>
    <t>Vaklomeio Moraleda</t>
  </si>
  <si>
    <t>…juicio que,haya lugar. En virtud de providencia del Sr. D. Manuel Fernandez Gamboa, del Consejo de S. M., alcalde de su Real .Casa y Corte^,, refrendada del escribano de provincia D. Vaklomeio Moraleda, se cita , llama y emplaza por segunda vez á todas y cua. lesquier personas que sé crean,con derecho á los bienes quedados por el fallecimien to abintestato de Doña Lucía Martínez, acaecido en esta corte en 8 de Abril del año de 1818,y según noticia parece er…</t>
  </si>
  <si>
    <t>Moraleda, Valdomero</t>
  </si>
  <si>
    <t>Valdomero Moraleda</t>
  </si>
  <si>
    <t>…posada del ex presado señor juez. Por providencia del Sr. D. Manuel Fernandez Gamboa , del Consejo de S. M., alcalde de sü Real Casa y Corte, refrendada del escribano de provincia D. Valdomero Moraleda, y á instancia del P. Procurador del convento de religiosas de Santa Catalina de Senada esta villa, y para pago de réditos de un censo que tiene sobre una casa sita en la calle de las Minas, núm. 1 2 , manz. 482 &gt; perteneciente á la testamen taría de Josef Mo…</t>
  </si>
  <si>
    <t>1030 vincia de D. Valdomero Moraleda , se ha suspendido por ser día feriado, y vuelto £ señalar para el sábado 16 del propio, á las 12 de su mañana, en la audiencia de di cho señor. . , , - \ Por providencia de 27 de Setiembre; últinyo del Sr. D. francisco Xavier de Qieda del Consejo de S. M. en…</t>
  </si>
  <si>
    <t>Morales</t>
  </si>
  <si>
    <t>á la cabeza de la caballería del brigadier Morales y delregimiento de drago nes leales, llevando dos pequeñas piezas de -i&gt; cuatro, con cuya fuerza los cargué, y fui persiguiendo por espacio de dos leguas, causándoles bastante daño , basta que la oscuridad impidió pudiésemos acabar la destrucción. Esta misma…</t>
  </si>
  <si>
    <t>Morales, Bruno de Aeosta y</t>
  </si>
  <si>
    <t>Bruno de Aeosta y Morales</t>
  </si>
  <si>
    <t>…del Sto. tribunal de la Inquisición , regidor perpetuo y decano de su limo, ayuntamiento, D. Ra món López Solórzano, también regidor perpetuo y alcalde ordinario de la misma , el .capitán D. Bruno de Aeosta y Morales, alguacil mayor de la Real renta de Millones, y D. Francisco Ruano Santos, ambos jurados perpetuos,, y Di Alfonso María de Coto, su escribano mayor.^acompañados del Excelentisimo-Sr. duque dfe Alagon, Grande de España de primera clase, y capitan.de guardias d…</t>
  </si>
  <si>
    <t>Morales, Esteban</t>
  </si>
  <si>
    <t>Esteban Morales</t>
  </si>
  <si>
    <t>…ra de S. Ginés de Madrid, 300. Núm. 51. D. Pedro Marcelino Blanco 20. Nú mero =52. El señor cura cíe S. Ginés, por limosnas que le han entregado algu nos feligreses, 212. Núm. 53. D. Esteban Morales 40. Núm. 54. D. Q. B. H. 500. Núm. 55. Doña G. C. 40. Núm. 56. D. Rafael Guzman 10. Nú-</t>
  </si>
  <si>
    <t>Morales, Francisco</t>
  </si>
  <si>
    <t>Francisco Morales</t>
  </si>
  <si>
    <t>…en la del Lie. D. Ramón de Egnarasyen Valladolid en 1a del Dr. D. Luis Me-' j&gt;a; en Astorga en la de D. Gaspar Tardío: én Toledo en la de D. Benito Lizana; en Ciudad Real en la de D. Francisco Morales; en Cuenca en la de D. Manuel Faustino de César; en Badajoz en la del Dr. D. Jaime Brancos; en Plasencia en la de D. JoseCP io López.Samaniego; en Villanueva de la Serena en la de D. Bernardo Bd^tip’enGranada en 'la del Dr. D. Manuel Lope? Mateos; en Málaga e…</t>
  </si>
  <si>
    <t>Morales, Josef</t>
  </si>
  <si>
    <t>Josef Morales</t>
  </si>
  <si>
    <t>…Arel lañó, D. Josef Jiménez, Don Juan Pedro Isr.si, D. Miguel Infante, D. Josef Aguirre, D&gt; Alonso Reina; D Josef Garci, D. Ramón Porta, D. Francisco Marín, D. Manuel Capace te , D. Josef Morales , D. Matías Michana, D. Gregorio de Casadevals, Don Miguel Fassia, D. Manuel Gómez, D. Miguel Reina y D. Manuel Rojas. - Valladolidá'S de Julio. • ! , n ;• / La Real sociedad económica de esta capital y provincia celebró ehlj/tardé del 26 del corriente la jun…</t>
  </si>
  <si>
    <t>Morales, Manuel</t>
  </si>
  <si>
    <t>Manuel Morales</t>
  </si>
  <si>
    <t>…a drones por donde creyera mejor el ataque: á poco rato los vi por mi derecha que atacaban al galope el flanco izquierdo de los enemigos, á las órdenes del comandante de escuadrón D. Manuel Morales; y advirtiendo la 'indecisión dé los enemigos los ataqué animoso, desordenándolos, persiguiéndolos, y lo grando la victoria de que está ya V. S. bien informado. Todos los oficiales y tropa de mi regimiento se han portado con el valor que acostumbran, y que es…</t>
  </si>
  <si>
    <t>…de,un largo tiroteo j y tres fuertes descargas por una y orra -parte ¿sq decidió la acción con los dos restantes escuadrones de dragones que enyáé.por. la.izquierda, al mando del comandante D. Manuel Morales , acompañado del capitán D.Ramón Caneiro, los cuales llegaron en el momento de la tercera carga que daba Gómez, y ater raron de.tal manera al enemigo, que dividiéndose en tres grupos huyeron, por diferentes puntos. Los que se ditigíaq por/lq izquierda,, á cuy…</t>
  </si>
  <si>
    <t>Morales, María Rodríguez de</t>
  </si>
  <si>
    <t>María Rodríguez de Morales</t>
  </si>
  <si>
    <t>…Real congregación de presbíteros seculares de S. Felipe Neri de esta corte, patrono de la memoria que para casar huérfanas ó tomar estado de re ligión fundó en dicha congregación Doña María Rodríguez de Morales, hace saber; que en el año de 1806 fueron agraciadas las personas siguientes: Joaquina Giménez, Juana de Madrid, Genara García y Ana María Añaños; y no constando su exis tencia, da el presente aviso para que las que vivan comparezcan con. el nombramiento en ■…</t>
  </si>
  <si>
    <t>Moran, Fernando Antonio</t>
  </si>
  <si>
    <t>Fernando Antonio Moran</t>
  </si>
  <si>
    <t>…encia y gobierno. Por providencia del Sr. D. Angel Fernandez de los Ríos, del Consejo de S. M., primer teniente de corregidor de esta muy heroica villa, se cita, llama y emplaza á Don Fernando Antonio Moran, á fin de que personalmente, ó por medio de procurador con suficiente poder, dentro del término de g o dias precisos, contados desde 6 del corriente, y con denegación de otro, comparezca ante dicho señor juez por la escri banía del numero de D. Claudio Sanz á…</t>
  </si>
  <si>
    <t>MoraWda, Yaldomcro</t>
  </si>
  <si>
    <t>Yaldomcro MoraWda</t>
  </si>
  <si>
    <t>…se le admitirá la que hiciere siendo ar reglada. Ante el Sr. D. Manuel Fernandez Gamboa, del Consejo de S. M., alcalde en snReal Casa y Corte, y por la escribanía de provincia de D. Yaldomcro MoraWda^</t>
  </si>
  <si>
    <t>Moreao</t>
  </si>
  <si>
    <t>…ta capital con, dirección á Petersourgo, nó va encargado por su Gobierno de ninguna comi sión diplomática; y se asegura que solo va á Rusia por asuntos-de su herma na la viuda del mariscal Moreao. BAVIERA. Nurembefg 8 de Mayo. Escriben de Dresde que se aguarda para este verano en aquella ciudad á varios ilustres extrangeros. También parece que en el mismoliempo habrá una concurrencia muy lucida de diierentes perso’nages en Bohemia, donde se avis tarán…</t>
  </si>
  <si>
    <t>Morejon, Antonio Hernández</t>
  </si>
  <si>
    <t>Antonio Hernández Morejon</t>
  </si>
  <si>
    <t>…sioneros civiles en Francia, de la flor de Lis &amp;c. &amp;c. Leerá en aquel dia á las 10 de la mañana una oración inaugural facultati va én castellano el catedrático del establecimiento D. Antonio Hernández Morejon, médico de Cámara de número, y examinador de medicina, empezando el curso con la explicación de las enfermedades agudas. Con arreglo á lo mandado por S. M*. en 31 de Agosto y 4 de Diciembre de 1816, y á lo decretado por Reales disposiciones desde la fundación…</t>
  </si>
  <si>
    <t>Morell, Cayetano</t>
  </si>
  <si>
    <t>Cayetano Morell</t>
  </si>
  <si>
    <t>…sin omitir diligencia ni indagación, de que avisarán á Y. E* para dar cuenta á S. M. por mi mano.” . El Rey nuestro Señor se ha dignado conceder su soberano permiso al ba chiller D. Cayetano Morell ,&gt; vecino de ia Havana , para que pueda usar la condecoración de la Flor de Lis con que le agracio S. M. Cristianísima pot su adhesión á la Causa de los Berbenes. D. Pascual de Nava, capitán agregado al estado mayor de la plaza de Valencia, penetrado de las c…</t>
  </si>
  <si>
    <t>Moreno, Alejo</t>
  </si>
  <si>
    <t>Alejo Moreno</t>
  </si>
  <si>
    <t>…dome en los sitios de mas expo sición, donde se distinguieron en valor y serenidad. Son dignos de la conside ración de V. E. el teniente coronel comandante de lanceros venezolanos Don Alejo Moreno, y el capitán del mismo cuerpo Mauricio Terrero; como asi mismo los beneméritos capitanes del batallón de la Reina D. Juan Delgado y D. Pedro Gasals; los tenientes del mismo cuerpo D. Vicente Xurbe, D. Juan /</t>
  </si>
  <si>
    <t>Moreno, Custodió'Teodoro</t>
  </si>
  <si>
    <t>Custodió'Teodoro Moreno</t>
  </si>
  <si>
    <t>…basta una casa qiié la perteneció én la.Callé de Calatr'avá de ésta corteé señalada con el ñum. 24, róanz. íro, que comprende 2698f píes de sitió, y se ha tasado por el arquitecto D. Custodió'Teodoro Moreno eñ la cantidad de 115,041 rs. vnd Quien quisiere hacer postura ó mejora á ella ocurra en término de 36 dias, cóntádos'desde él 20 del corriente, ante el.Srl D. Manuel Josef Rubio, del Conse^ jo de S. M., teniente de corregidor de'esta muy heroica villa, por l…</t>
  </si>
  <si>
    <t>Moreno, Joaquín</t>
  </si>
  <si>
    <t>Joaquín Moreno</t>
  </si>
  <si>
    <t>…dado distinguido-D..Deogracias Salinas,.se ha servido,con cederles grado de subtenientes de infantería. Siendo grata al Rey nuestro Señor la memoria de la lealtad y servicios de • D. Joaquín Moreno,, ministro tesorero de Real hacienda de Córdoba de Tucuman, que fue pasado por las armas por los insurgentes de Buenos-Ai res en defensa de la justa causa de S. M. ; y en atención á la fidelidad y padecimien tos de su hijo D. Camilo, teniente de granaderos de…</t>
  </si>
  <si>
    <t>Moreno, Marcos</t>
  </si>
  <si>
    <t>Marcos Moreno</t>
  </si>
  <si>
    <t>…mi compañía Doroteo Rodríguez. La noche la pasé junto al arroyo nombrado de Vinasquillo. ,,E1 f regresé á este punto á las cinco de la mañana, separándome en aquel mismo sitio del teniente D. Marcos Moreno ; y á la mediación de nil jornada, á las 10 del dia, comenzaron los rebeldes á impedir mi marcha con infinitas emboscadas, desalojándolos yo, y batiéndolos en todas sus posicio nes, habiendo muerto de bala el guia t[ue yo llevaba, Jpsef Martin, el mis mo que…</t>
  </si>
  <si>
    <t>Moret, Lorenzo</t>
  </si>
  <si>
    <t>Lorenzo Moret</t>
  </si>
  <si>
    <t>…o de su aplicación y adelantamientos, debidos en gran parte al infatigable desvelo de su maestro; sin,embargo sobresalieron y obtuvieron premio los siguientes: en la primera clase D. Lorenzo Moret, niño del mas singular despejo, y que solo cuenta 16 meses de instrucción; D. Manuel Bommatí, D. Jacobo Pa checo, D. Josef Adan, D. Salvador Várela , D. Juan Mateo, D. Antonio Medina y D. Ramón Martínez. En la segunda D* Ignacio Várela , D. MañuefRodríguez Ca…</t>
  </si>
  <si>
    <t>Morete, Manuel</t>
  </si>
  <si>
    <t>Manuel Morete</t>
  </si>
  <si>
    <t>…ana se reunió también el capítulo en la citada Real iglesia para celebrar solemnes exequias por Jas almas de les caballeros difuntos de la orden, cuya' oración fúnebre dijo el Dr, D. Manuel Morete, canónigo de Burgos, con una facundia edificante y nada vulgar. El numeroso concurso de Ja comitiva de S. M. y AA., embajadores y ministros de las. cortes extrangeras, grandes;,-títulos, generales, oficiales de Ja guarnición y otras ¡personas de alta gerarquí…</t>
  </si>
  <si>
    <t>Moreti</t>
  </si>
  <si>
    <t>…y otras, á 6 rs. cada una: seis canciones españolas con acompañamiento,.de piano solamente , de Ruckeri á 20: doce cancio nes españolas con acompañamiento de piano-y guitarra, del caballero Moreti* á 80: cabatína de Rossini Tu que resides, para guitarra, á 6: gran marcha fúnebre dd profesor Inzenga para piano forte, á 6: tema con variaciones para ídem del profesor Codina, á 8: adagio para ídem de Cramer,_ á ú: divertimiento para ídem del pro fesor Córd…</t>
  </si>
  <si>
    <t>Moreti, Federico</t>
  </si>
  <si>
    <t>Federico Moreti</t>
  </si>
  <si>
    <t>…feli greses, 60. Num. 328. D. N. S. 20. Núm. 329. D. N. 320. Núm. 330.'Lds •señores cuestores del cuartel de Maravillas 2197 rs. y 21 mrs. Núm. 331. Una persona por mano del señor brigadier D. Federico Moreti 2©. Núm. 322. Los señores cuestores del cuartel de S. Gerónimo 3420. Núm. 333. Una viuda po-bre'io. Núm. 334, Dona Grégoria Aguado 20. Núm. 337. El Excmo Señor duque de la Roca 320/Núm. 336. D. J. D. P. 6. Núm. 337. El Ilusrrísim© Sr. arzobispo de Leucosia, a…</t>
  </si>
  <si>
    <t>Moretti, Federico</t>
  </si>
  <si>
    <t>Federico Moretti</t>
  </si>
  <si>
    <t>…librería de Paz, frente á las gradas de S Felipe el Real, á 9 rs. en rústica. Instrucciones militares para el servicio avanzado de campaña, traducidas del in-gles y francés por el brigadier D. Federico Moretti, coronel agregado al regimiento. 1 fantería de Búrgos 2 1 de línea: segunda edición corregida y aumentada por el tra ductor. Esta obrita, que se publicó en España por primera vez en el año de 1812 , y mereció una general aceptación, consta de dos partes: la p…</t>
  </si>
  <si>
    <t>…n tras dure la epidemia, con 200 rs. mensuales. Ñiim. 6.° Juan Martin Taber nero, por idem, 12 rs. mensuales. Núm. 7.0 £&gt;. Antonio Valenzuela, por ídem, 20 rs. semanales. Núm. 8.° D. Federico Moretti, por idem, 100 rs. mensuales. Núm. 9.0 D. Juan Salcedo, por tres meses, con 60 rs. cada uno. La Real sociedad económica matritense, en cumplimiento de la Real or* den de 19 de Agosto próxiino pasado, que se la ha comunicado por la pri mera secretaría de Estad…</t>
  </si>
  <si>
    <t>Morgado</t>
  </si>
  <si>
    <t>…que los infelices tuvieron la precaución de cerrar á su entrada, y vuelve á la cabeza de la chusma ar mado ya de un sable, ataca á los indefensos prisioneros, mata por su mano al coronel Morgado, é incita d los asesinos para que hagan pedazos al résto, como lo egecutaron. Seis gefes principales y 35 oficiales de todas graduacio nes, entre ellos algunos paisanos desterrados, son hechos cuartos-ó fusilados á sangre fría después^, del tumulto, en consec…</t>
  </si>
  <si>
    <t>MoriHó, Pablo</t>
  </si>
  <si>
    <t>Pablo MoriHó</t>
  </si>
  <si>
    <t>…a. Se hallará en las librerías de Barco López, calle de la Cruz, de Rodríguez, calle de las Carretas, y en Cádiz en la de Hortal y com pañía. Retrato á caballo del general en gefe D. Pablo MoriHó, conde de Cartagena y marques de la Puerta, dibujado por D. Antonio G-uerrero,y grabado en,medio plie go marquida por D. Manuel Albuernc, á 4 rs. en negro y a 8 iluminado. Se hallara en el almacén de estampas de la calle Mayor, frcntcLá la casa del Excmo. Sr.…</t>
  </si>
  <si>
    <t>Morillo, Pablo</t>
  </si>
  <si>
    <t>Pablo Morillo</t>
  </si>
  <si>
    <t>…o la de Ndpoleoñ Bónaparfe, que ha pa sado de manos del Príncipe Regente de Inglaterra á las del duque de Weliington. ESPAÑA. Madrid ij de Febrero. ARTICULO DE OFICIO. El teniente general D. Pablo Morillo, general en gefe del egércíto expe dicionario de Costa-firme, desde Caracas con fecha de 18 de Noviembre úl timo remite al Exorno. Sr. Secretario de Estado y del Despacho universal de la Guerra los dos partes que siguen: r.° ,, El brigadier D. Tomas de Cires,…</t>
  </si>
  <si>
    <t>…y nuestro Señor situarse en un edificio correspondiente ai tesoro; de riquezas literarias que contiene. ’ •; • --- • - , ARTICULO DB OFIÓTO. ’ , ' ^ ' ■' ■ r \ - \ ( ' El teniente general D. Pablo Morillo , general en gefé del egércíto expedi cionario de Costa-firme, concedió en 1818 á nombre del Rey nuestro Señor; é ínterin, se dignaba aprobarlo ,, varias gracias á los pardos de las provincias de Venezuela; y S. M., queriendo manifestar lo gratos ^que le son…</t>
  </si>
  <si>
    <t>…iados, distribuyéndose todo por mano de dicho Sr. limo., ó de personas de su confianza i etí los puntos á que dicho Sr. aplique ios socorros. y [ c ARTICULO DE OFICIO. El teniente general D. Pablo Morillo dice al Excmo. Sr. Secretario interi no del Despacho dé la Guerra lo que sigue: ,, Excmo. Sr.: El brigadier D. Tomas de Cires, comandante general de la cuarta división, y gobernador de la provincia de Cumaná, con fecha de 23 de Noviembre dél año próximo pasad…</t>
  </si>
  <si>
    <t>…los auxilios necesarios. Tendréislo entendido, y dispondréis lo correspondiente á su cumplimiento. = Palacio 13 de Noviembre de 1819. == Al marques de Mata Florida.” . El teniente general D. Pablo Morillo dice al Excmo. Sr. secretario interi no del Despacho de la Guerra lo que sigue: ,, Excmo. Sr.: El coronel D. Sebastian de la Calzada, comandante gene ral de la quinta división, con fecha de 15 de Diciembre próximo pasado des de el campamento de la laguna del…</t>
  </si>
  <si>
    <t>…astelar se ha servido conferirle el empleo de capitán de la com pañía de su guardia de Alabarderos. En consideración á los dilatados y distinguidos servicios del teniente ge neral D. Pablo Morillo, general en gefe del egérciro expedicionario de Costa^rrfTfe-, se ha-dignado ei Rey nuestro Señor concederle merced de título de Cas tilla » libre de lanzas y medias anatas, para sí, sus herederos y sucesores; con la denominación de conde de Cartagena, marque…</t>
  </si>
  <si>
    <t>…de la infantería enemiga. Dios guarde á V. E. muchos años. Campamento de la Mata de Bejiico 31 de Marzo dé 1819. = Excmo. Sr. = Francisco Tomas Morales.“Excmo. Sr.-general en gefe D. Pablo Morillo.^: Es copia. = Morillo.” Por el estado consta que nuestra perdida fue de dos oficiales heridos y un contuso;y de tropa 13 individuos muertos, 33 heridos y dos contusos. . El magistrado de sanidad marítima en los puertos del reino Lombardo-Vé neto avisó, con f…</t>
  </si>
  <si>
    <t>…an á aumentar mi vigilancia á fin de que el fruto de sus sacrifi cios tengan la inversión mas escrupulosa en los objetos á que vienen destinados.’* ARTICULO DE OFICIO. El teniente general D. Pablo Morillo dice al Excmo. Sr. Secretario interi no del Despacho de la Guerra lo que sigue: ,,Excmo. Sr.: En 28 de Febrero ultimo tuve el honor de informar á V. E. desde las inmediaciones del Arnica el estado de las operaciones del egército de mi mando hasta aquella fech…</t>
  </si>
  <si>
    <t>…u desti no y denominación.” .. . Lo que traslado á-V..,,.4e;‘Real or^en^para su inteligencia y demás efectos correspondientes. Madrid 21, de Setiembre de. 18 19. ; i • El teniente general D. Pablo Morillo dice.al Sr. secretario de Estado é in terino del despacho de la Guerra lo que sigue: ,? ,,Excmo. Sr.; EL teniente coronel D. Eugenio Arana, comandante del ba tallón ligero cazadores de la ¡Reina Isabel, y de la columna volante de los llanos de Barcelona, desd…</t>
  </si>
  <si>
    <t>Mórítoyái, Fraiiciscp</t>
  </si>
  <si>
    <t>Fraiiciscp Mórítoyái</t>
  </si>
  <si>
    <t>…6 pies de sitio, tasado en.112,480 rs , y para su remate.esta'señalado él 19 de' Enero próximo, á las 1*2 dé sy mañana’/én la escribanía de provincia que despacha por habilitación D. Fraiiciscp Mórítoyái ppr donde se adnrtiríráu las posturas qué’^é hagan. ’ ' “P ' ''¿Por providencia de i8 del que rige, dictada por el Sr. D. Mártin de Gaztañá~ga, del Consejo dé S. Jd'. V su alcalde de Casa y Corte, refrendada del escribano de ‘provincia y comisiones de-la mism…</t>
  </si>
  <si>
    <t>Motezuma, Antonio Marsilla</t>
  </si>
  <si>
    <t>Antonio Marsilla Motezuma</t>
  </si>
  <si>
    <t>…ente , ministro honorario del Consejp Real, caballero de número de la Real orden de Carlos iii , corregidor político, y superintendente de la Real empresa de la ciudad de Lorca, y D. Antonio Marsilla Motezuma, intendente honorario de provincia, y secretario honorario del Sto. ofício de la Inquisición de Murcia, tuvieron el honor de felicitar á-SS.MM. el dia 27 del pasado con el plausible motivo de su venturoso matrimonió, en representación del -cabildo de la igles…</t>
  </si>
  <si>
    <t>Motezuma, Estébari</t>
  </si>
  <si>
    <t>Estébari Motezuma</t>
  </si>
  <si>
    <t>…para ayuda del, pago de la tropa. El ifi lie-? gué al citado pueblo, y en sus i n mediad oríes aprehendió una partida de mi caballería que mandaba el capitán graduado Üe mi cuerpo D. Estébari Motezuma al mal español Silvestre Tarrasido, desertor de las tropas del Rey nuestro Señor , que se titulaba sargento mayor de rebeldes, uno que se decía capitán , y 2 de sus soldados. ,, El 27 repartí la caballería en varias divisiones, y la que mandó ele i fa do capi…</t>
  </si>
  <si>
    <t>Motezuma, Fstéban</t>
  </si>
  <si>
    <t>Fstéban Motezuma</t>
  </si>
  <si>
    <t>…anciadamente de la prisión del titulado brigadier apóstata Carvajal y; 4 de sos compañeros , también llarrfádos'oficiales , egecutada por el capitán de dragones fieles del Potosí* D. Fstéban Motezuma, en cuya vista prevengo á V. S. dé á este oficial* al teniente coronel Barragan y tropa de su cargo las gracias en nombre dei Rey nuestro Señor ¿ y le acom paño el despacho de grado de teniente coronel, que en el mismo Real nona-? bre he concedido al citado M…</t>
  </si>
  <si>
    <t>Motezuma, Pedro Tesifon de</t>
  </si>
  <si>
    <t>Pedro Tesifon de Motezuma</t>
  </si>
  <si>
    <t>…donia, comendador de la encomien-^ da dé las casas dé Sevilla y Niebla. 28. Testimonio de posesión que se dio de la villa de Monterrosano de lá Péja, su término y jurisdicción, al Sr. D. Pedro Tesifon de Motezuma de la Güevá y Boncagorá por el escribario Diégó Rubio del Campo, fechan de ¿'9.. Fundación qúe hicieron D. Pedro Giizman y Doña María Tejudo, eil ^?e ifistitu^én por pátrohoá áfo^ parientes dé sangré, y á falta de estos á loé RR. PP. prior de Atocha y guardiá…</t>
  </si>
  <si>
    <t>Mouliad, Pablé FÍaría de</t>
  </si>
  <si>
    <t>Pablé FÍaría de Mouliad</t>
  </si>
  <si>
    <t>…chez.;==Sr. brigadier y com&amp;ndánte ^gefiéfáí I&gt;. Müchoir rAlvárez.” • : •: V- ; ‘ r -’1 ,j!- ’• : ó' ■ ■ ' ■ . „ . . ' '• • • ' i Parte del teniente coronel D. Epitacio Sánchez al comandante D. Pablé FÍaría de Mouliad. ' . : . . T , ' 1 ib incumplimiento á láMrden del brigadier D. Melchor AlvarezV, fecha 22 .dehquejrigei, que vmd... me comunicó con la -dé 2f dél rñism'o, cóncernientfc á que persiga y destruya los rebeldes acaudillados por Luz Nólaseo’y plateó Hernández, sa…</t>
  </si>
  <si>
    <t>Moya, Carlos Rodríguez de</t>
  </si>
  <si>
    <t>Carlos Rodríguez de Moya</t>
  </si>
  <si>
    <t>…a del nominado señor alcalde a las doce de la mañana. En virtud de providencia dei Sr. D. Josef María Puente, del Consejo de S. M., “alcalde de su Real Casa y Córte, refrendada de D. Carlos Rodríguez de Moya, es cribano de provincia, sé cita, llama y emplaza á todos los que se crean ser acreedo res ó herederos á los bienes que han quedado por fallecimiento de Josef dei' Alaftfoi vecino que fue de esta villa1, para que eri el término de 20 dias primeros siguientes…</t>
  </si>
  <si>
    <t>Moya, Francisco de</t>
  </si>
  <si>
    <t>Francisco de Moya</t>
  </si>
  <si>
    <t>…y poética que se ofre cieron, concluyendo con el examen de geografía é historia. Se distinguió par ticularmente. Vicente Guerri, de edad de 13 años, hijo de un pobre labra dor ; y D. Francisco de Moya, alcalde mayor de la ciudad, le puso al cue llo la medalla de premio destinada para aquella clase, que por el anverso te nia en el centro las armas de la religión de las Escuelas pías con la leyenda: Real colegio de las Escuelas fias de la ciudad de Gandía; y…</t>
  </si>
  <si>
    <t>Moya, Gines de</t>
  </si>
  <si>
    <t>Gines de Moya</t>
  </si>
  <si>
    <t>…na de las cuatro ór denes de Sto. Domingo, S. Francisco, Agustinos y Carmelitas calzados. Con este acompañamiento, y la cruz de la Real capilla, seguida de los capellanes de honor D. Gines de Moya, que hacia las funciones de cura del Real palacio, D. Ramón Aguiriano, que hacia las de maestro de ceremonias, D. Blas-Prats, D. Domingo María Tordera, D. Antonio Bermejo, D. Tibureio Saez, D. Leandro Alvarez, D. Luis Ramírez Mon sal ve, D. Agustín de la Rica…</t>
  </si>
  <si>
    <t>Moya, Joaquina de</t>
  </si>
  <si>
    <t>Joaquina de Moya</t>
  </si>
  <si>
    <t>…25 camisas para las niñas pobres de la escuela * y 50 ducados anua les para la subsistencia de este piadoso establecimiento aprobado por'S. M. En las escuelas de niñas al cargo de Doña Joaquina de Moya y Doña María Dolores Aguílar fueron premiadas; estas y las aluinnas María Dolores Serna, Juana de AnguÍta,.Maria Manuela: Fernañclez ,■ María Dolores Castellano* María Vicenta García, María del Cármen Lozano;, María Josefa Llavero* María de Cámara, Francisca de Ocaña, Manuela Sánchez, Cl…</t>
  </si>
  <si>
    <t>Moyano, Antonio</t>
  </si>
  <si>
    <t>Antonio Moyano</t>
  </si>
  <si>
    <t>…oda la mi tología que les tocó en suerte. En seguida midieron toda clase de versos he roicos, elegiacos y líricos, variando los que admitían distinta medida. Ulti mamente el mismo D. Antonio Moyano leyó y tradujo del francés al españolcon tanta propiedad, que fue admirado de todo el concurso, y llenó de sa tisfacción á su maestro. Los Sres. examinadores exhortaron á todos los alumnos á continuar con la misma aplicación en sus tareas literarias? y dando…</t>
  </si>
  <si>
    <t>Moyano-, Antonio</t>
  </si>
  <si>
    <t>Antonio Moyano-</t>
  </si>
  <si>
    <t>…. El acto se abrió por un breve discurso que pronunció el Br. D. Tadeo de- la Vega, catedrático de dicha dase, alusivo á las circunstancias. En se guida se presentaron los alumnos D. Antonio Moyano-, D. Domingo Ortiz, D. Josef Murien, D. Juan Gutiérrez, D. León Coro y D. Josef Bermudez?. á quienes por orden se abrió á la suerte cada uno de los tres tomos de la co lección de autores de D. Pablo Lozano, donde por largo espacio hicieron una libre versión á…</t>
  </si>
  <si>
    <t>Mpnfort, Luis</t>
  </si>
  <si>
    <t>Luis Mpnfort</t>
  </si>
  <si>
    <t>…-Se hallará en' la librería de Calleja, calle de las Carretas, á 44 rs. en rústica y 54 en pasta. La familia de Víeland, ó los prodigios, novela francesa, puesta en español por el doctor D. Luis Mpnfort, presbítero : cuatro tomos en 12.0 con una lámina al fron-" tis, tercera de la colección que publica en Valencia D. Mariano de Cabrerizo. .El* autor pinta en esta novela el lastimoso,cuadro de la? funestas consecuencias de una educación fanática y supersticio…</t>
  </si>
  <si>
    <t>MqUer-Weimiez</t>
  </si>
  <si>
    <t>…i llones de rublos en papel-moneda. Va á viajar por eí extrangero el general K urowoitzyn i. ministro de-la Guerra en Rusia;, y le sucede rá interinamente el general de-artillería barón MqUer-Weimiez^ky. El Emperador, Alejandro</t>
  </si>
  <si>
    <t>Mr</t>
  </si>
  <si>
    <t>…de Madagascar Mrs. Be.van v Jones escriben con fecha de 9 de Julio*desde Puerto Luis, en la isla de Francia, adonde llegaron el 3 de dicho mes, que han sido bien recibidos por el gobernador Mr. Hall; pero que les ha disuadido del intenta de ir por ahora á Madagascar, fundándose prin cipalmente ¿n el comercio de esclavos á que! se dedican casi todos los euro peos, bo obstante el tratado que se.. ajustó con el Rey de Ppa. Se mir,a este tríitado:con’t…</t>
  </si>
  <si>
    <t>que se puro en iranrs del excelente conde de Talbot, y su virtuoso y elo cuente secretario Mr. Grant, se ha separado enteramente de la máxima de divide et impera, en que se fundaba antes el severo trato é impolítico modo de gobernar aquel país. FRANCIA. Varis 27 de Diciembre. El 8 del corriente al anochecer liego á Chemnítz el Rey de Saxonia para ver…</t>
  </si>
  <si>
    <t>…es que viene saldrá de aquí para Italia el Príncipe Federi co dé los Países-Bajos con otro Príncipe de Prusia, y que acompañarán á S. A. R. su ayudante de campo barón de Ivoi y su secretario Mr. VanAssen. GRAN BRETAÑA. Londres 7 de Mayo* La sesión de ayer de la Cámara de los Comunes fue de la mayor btipor. tanda. Ganó el partido de la Oposición un triunfo, que puede considerarse op ino el primer paso para una reforma parlamentaria, pues adoptó la Cá…</t>
  </si>
  <si>
    <t>…Francfort jo de Abril. En la gaceta de fí'aireuth se ha playic^Ho laj^iotícjá1 slguiénte: •* ,,Giessen (en ei gran ducado desHlssé-DarH&amp;¿adt) 21 de-ÁbriD - J* ,, Antes de ayer el catedrático Mr. Arens, que al mismo tiempo es indi viduo del supremo tribunal de apelación, _r pasó con el secretario y otro de pendiente de la universidad acompañados de^nn cerragero á las casas de va rios estudiantes y-de otras*personas - piuMáculares, y se- apoderó~de-&amp;u…</t>
  </si>
  <si>
    <t>…ísico de la isla. Le acompaña el pintor Mr. Payen, dé Brusélas, los dos dibujantes llamados Bick, y Mr. fcenst, dU rector del jardín botánico. Va también como agregado el teniente coronel Mr. Treífs, con encargo particular de adquirir los efectos mas preciosos de la? Molucas y-de otras islas para los Reales, gabinetes de Historia natural. Él go-r bernador general ha destinado para.está expedición una corbeta d.e $. M. mujr cómoda y espaciosa , y…</t>
  </si>
  <si>
    <t>…rminóse el paciente á entregarse en manos de los facultativos del hospicio de la facultad.de medicina de esta cor te; y después de muchas é ingeniosas pruebas ha conseguido hoy el profesor Mr. A. Dubois extraer toda la- lámina por medio de una operación tan feliz como dificultosa, librando al enfermo de las terribles consecuencias que hu bieran producido los esfuerzos de: la naturaleza para arrojarla. El dia 12 de este mes falleció en su casa de c…</t>
  </si>
  <si>
    <t>…á también S. A. R. lecciones privadas de matemáticas y de juris prudencia; aprenderá el idioma aleman bajo la dirección de un joven dis tinguido por su ilustración y talento; y el catedrático Mr. Geyer le instrui rá en las épocas principales de la historia de nuestro país, para lo cual ha interrumpido las lecciones públicas de historia moderna. SAXONIA. Dresde 29 de Octubre. La comisión encargada de formar un nuevo reglamento para la navega-' clon de…</t>
  </si>
  <si>
    <t>…tomado en ía debida consjderacion el esta do en que se hallan; y para ocuparlos útilmente ha mandado formar un es tablecimiento en la isla de Oeland, confiado á la dirección de su gobernador Mr. Adlespar, en donde 5e recogerán y( trabajarán todas las personas que no</t>
  </si>
  <si>
    <t>Mr, Grenville y</t>
  </si>
  <si>
    <t>Grenville y Mr</t>
  </si>
  <si>
    <t>…los ministros en punto á la emancipación de los católicos, parece se trata de reforzar el ministerio con algunos individuos del partido de la oposición, entre los cuales nombran á lord Grenville y Mr. Tierney; y que probablemente renunciarían los lores Sidmouth y Liverpool, que son dé dictámen contrario á las pretensiones de los católicos. ESPAÑA. Madrid 3 de Diciembre. El día 5 de Octubre se dignó el Rey nuestro Señor admitir á besar su Real mano al capi…</t>
  </si>
  <si>
    <t>Mr, Stewart y</t>
  </si>
  <si>
    <t>Stewart y Mr</t>
  </si>
  <si>
    <t>896</t>
  </si>
  <si>
    <t>…que'el de la otra oril!a¿ .......... . Idem 20* Parece yá indudable quería Inglaterra tendrá parte en las conferencias de Carlsbad, y que la representarán éí duque de Weilington, lord Stewart y Mr. Gordon. , Se estaba aguardando en Viena ai embajador de Francia conde de Caraman, dé vuelta de Italia/é inmediatamente saldría de aquella corte para Carlsbad. ' - 7 Idem 21* Ha llegado á París el general Piré, en virtud del permiso que ha obtenido del Rey. .…</t>
  </si>
  <si>
    <t>Mr, Uxbridge y</t>
  </si>
  <si>
    <t>Uxbridge y Mr</t>
  </si>
  <si>
    <t>…había mo tivo para no conceder las mismas facultades al nuevo encargado de la custodia de la persona del Rey. El célebre orador del populacho Mr. Hunt ha puesto demanda contra el lord Uxbridge y Mr. Trazer, oficiales del 7.0 regimiento de Húsares, á quie nes acusa de haberle sacado violentamente de un palco del teatro de Manchester, donde estaba sentado con algunos amigos suyos. ( El hecho es que no habien do querido quitarse el sombrero mientras se can…</t>
  </si>
  <si>
    <t>Mu, Francisco</t>
  </si>
  <si>
    <t>Francisco Mu</t>
  </si>
  <si>
    <t>…Exorno. Sr. D. Martin García y Loigorri 200. Núm. 142. Fé lix Fernandez, mozo sirviente, de su sueldo, 20. Núm. 143. D. V. y Doña M. 400. Núm. 144- Doña M. V. y M. 100. Núm. 14^. D. Francisco Mu ñoz, cura de Sta. Cruz de Madrid, por limosnas recibidas de sus feligreses, 200. Núm. 146. D. E. M. 100. NútTK.147. D. L. T. 60. Núm. 148. D. B. C. 120. Núm. 149. Doña J. G. y D. T. A. 40. Num.-150. D. J. L. y Doña María C. L. 400. Núm. 151. D. A. C. 220. Núm…</t>
  </si>
  <si>
    <t>Muñiz, Carlos García</t>
  </si>
  <si>
    <t>Carlos García Muñiz</t>
  </si>
  <si>
    <t>…á PedroFernandez por haber-evidenciado «con las planas que presefttó, y examen que ha sufrido, sus addan tamiéntosen el presente5año, ' - "• '-&gt;i - 1 b '-■"’o Crratificaciones. ' D. Carlos García Muñiz, alumno dé dibuja y pintura en la Real academia de S; Fernando , por consecuencia det acuerdo celebrado en r.° de Setiembre del año de 17, en que se le Consignaron-1500 *$. al año para continuar la carrera de dibuja en aquélla Real academia / ha presentado Va…</t>
  </si>
  <si>
    <t>Muñoz, Antonia</t>
  </si>
  <si>
    <t>Antonia Muñoz</t>
  </si>
  <si>
    <t>…gento segundo de milicias dé Guayana Mariano Echevarría, muerto de la herida que recibió en la acción derguerra dé Cumanacoa , habida el 7 deEnero'del.año de 18 , igual pensión. A Doña Antonia Muñoz, emigrada de Guayana, y viuda de D. Miguel Sola, muerto en la acción naval tenida cerca de la isla ciePagayos, en el rio Orinoco, contra los irisurgentes el 13 de Julio del año de 1817, la. misma pensión. A Cor nelia Carrasquel, vecina de la ciudad de Valenci…</t>
  </si>
  <si>
    <t>Muñoz, Antonio</t>
  </si>
  <si>
    <t>Antonio Muñoz</t>
  </si>
  <si>
    <t>…gos de la catedral de "Valencia dos vales comunes de 300 pesos. Nú mero 615. D. N. 500. Núm. 616. El limo. Sr. deán y cabildo ae la santa iglesia catedral de Astorga 3©. Núm. 617. D. Antonio Muñoz 80. Número diB. D. N. .140. Núm. 619. D. G. 300. Núm. 620* El D. de S. C. 180. Nú mero 621. El señor- abad y cabildo, de la insigne iglesia colegial de Berlanga 400. Núm. 622. D. N. ,100. Por el correo de 26 y&gt; 30 de Noviembre se, han remitido ai limo. Sr. ob…</t>
  </si>
  <si>
    <t>Muñoz, Gabriel</t>
  </si>
  <si>
    <t>Gabriel Muñoz</t>
  </si>
  <si>
    <t>…fanta de España Doña María Luisa se ha dignado agraciarle. Por Réal resolución de ir de Junio último , á consulta del Consejó Su premo de la Guerra, se ha servido S. M. conceder á D. Gabriel Muñoz, ve cino de la villa de la Solana, provincia déla Mancha, el fuero militar y uso de uniforme de practicante de farmacia de egército en premió de los servi cios que ha contraído en las boticas militares de campaña durante la última guerra. Por otra de 24 det m…</t>
  </si>
  <si>
    <t>Muñoz, López</t>
  </si>
  <si>
    <t>López Muñoz</t>
  </si>
  <si>
    <t>…para ídem del mismo, á 6% polonesa para ídem dtel caba llero Rowlewsky,i 4: tres dups para.guitarra y violín del caballero Moreti, óp. 9, ¿40; tema con variaciones para ..ídem del caballero López Muñoz, £ 6: otro del ca ballero Zaragoza, á 8: juego filarmónico para ídem de Nava; á. 6: obertura de la Lodoiska de Rreutzer para ideen, á 8: tres grandes dúos para víolin y¡viola, óp. 9 del célebre Rolla, á 60: escalas y solfeos para víolin del mismo autor, á 30;…</t>
  </si>
  <si>
    <t>Muñoz, Mariano</t>
  </si>
  <si>
    <t>Mariano Muñoz</t>
  </si>
  <si>
    <t>…heridos, y á los tenientes del batallón de Asturias D. Manuel Rodrí guez S. Pedro y D. V icente Foyo, y de la mía al teniente de cazadores de mi cuerpo, ayudante de esta división, D. Mariano Muñoz, y subteniente de la misma el teniente graduado D. Josef Ferrer, cuyos oficiales la cabeza de los cazadores, desalojaron á los enemigos de cuantos puestos trataban de de fender con obstinación, y al sargento segundo de los mismos cazadores An tonio Martin. „…</t>
  </si>
  <si>
    <t>Muñoz, Tomasa</t>
  </si>
  <si>
    <t>Tomasa Muñoz</t>
  </si>
  <si>
    <t>…una de las huérfanas ;de los militares'd patriotas que ^hubiesen muerto en defensa de la justa causa de la nación f luí i Cabido en suerte del primer extracto1 de la de este día i Doña Tomasa Muñoz v hija de D. Francisco, músico mayor de'Ca rabineros Reales, muerto en el campo del honor. ^ &gt; O DE- * OFICIO,■ ' &gt;'•’ '■ ■ &gt; i'•?A . RTi IGV ."¡r.¡í7'üli S. M. se ha servida nombrar pata'; dos plazas de, oidores de la Real au diencia de Valencia, vacantes po…</t>
  </si>
  <si>
    <t>Muñoz, Ven-tura</t>
  </si>
  <si>
    <t>Ven-tura Muñoz</t>
  </si>
  <si>
    <t>…bía disfrutar; y que se pu-~ blíque en la gaceta para satisfacción del interesado. s &gt; . ' i &gt; ’ 1. ‘ ' ■ • ' : : ■ • El Rey nuestro Señor se há!servidó conceder su Real permiso á D. Ven-tura Muñoz, teniente del regimiento de infantería de miHcias.de Aragón de Jauja, en el Perú, para poder usar la condecoración dé la flor de Lis coir qúeS. M. Cristianísima le ha condecorado en premio de su constante adhe sión á- la aususta dinastía reinante. -..;■■■ ■ ;…</t>
  </si>
  <si>
    <t>Munster</t>
  </si>
  <si>
    <t>1274</t>
  </si>
  <si>
    <t>…y que concurrió á Las^negociaciones de Carlsbad).; por Saxonia, el conde de Éinsiedel, ministro de Negocios extrangeros; por Wurtemberg, el barón de Vanguenheim; por Hannóver, el. conde Munster; por Badén, el barón de Berstett, ministro de Negocios extrangeros; por Hesse-Darmstadt, Mr. de Haroier, diputado en la Dieta; por Nassau, el barón de Marschall, ministro de Estado; por Mecklemburgo, el barón de Plesser», diputado en la Dieta; por Brunswick,…</t>
  </si>
  <si>
    <t>Mur, María Catalina</t>
  </si>
  <si>
    <t>María Catalina Mur</t>
  </si>
  <si>
    <t>…ones á una de las huérfanas de los militares ó patriotas que hubiesen muerto en defensa de la justa causa de la nación, ha cabido en suerte del primer extracto de la de este dia á Doña María Catalina Mur, hija del patriota D.'Andrés, muerto en el campo del honor. El dia i.° de Abril se celebrará sorteo extraordinario de grandes premios bajo la forma y orden que demuestra el siguiente plan, compuesto de 259 números ó acciones de á 16 pesos fuertes cada una con…</t>
  </si>
  <si>
    <t>Murcia, Pedro Joaquín de</t>
  </si>
  <si>
    <t>Pedro Joaquín de Murcia</t>
  </si>
  <si>
    <t>…as de infantería; Don Vicente Martínez, primer médico de Cámara; Di Ignacio Moreno, tesorero . dé egército honorario , y director presidente de la Real compañía del Guadal%quivir; D. Pedro Joaquín de Murcia, ma^strante de Sevilla, vecino de Ecija; D. Josff Joaquín Perez, ■ canónigo doctoral de la colegial de S. Ildefonso; j,X)..Florencio Alonso Villasante, secretario de la dirección del Crédito pú blico ; el marques del Real Socorro; D. Josef García Carrasco., v…</t>
  </si>
  <si>
    <t>Murien, Josef</t>
  </si>
  <si>
    <t>Josef Murien</t>
  </si>
  <si>
    <t>…so que pronunció el Br. D. Tadeo de- la Vega, catedrático de dicha dase, alusivo á las circunstancias. En se guida se presentaron los alumnos D. Antonio Moyano-, D. Domingo Ortiz, D. Josef Murien, D. Juan Gutiérrez, D. León Coro y D. Josef Bermudez?. á quienes por orden se abrió á la suerte cada uno de los tres tomos de la co lección de autores de D. Pablo Lozano, donde por largo espacio hicieron una libre versión á nuestro idioma con tanta destreza,…</t>
  </si>
  <si>
    <t>Muros, Josef Marín y</t>
  </si>
  <si>
    <t>Josef Marín y Muros</t>
  </si>
  <si>
    <t>…ta. Clara; en la provincia de Puerto Príncipe de la isla de Cuba; á I). Miguel Bonilla, vecino de la Havana; á D, Juan Sayol , subdelegado de Hamacad, en Ja isla-de Puerto-Rico; á D. Josef Marín y Muros, administra^ dór ‘de alcabalas de VáÁtdoIid de Méchoacan, y á D. Domingo Clavarria; administrador de tabacos de Puerto Cabello ,’en las provincias de Venezuela. El Rey nuestro Señor se ha dignado conceder á D. Juan Ferréti, vecino y Rd comercio dé I.B.' Havan…</t>
  </si>
  <si>
    <t>Muros, Josef Miguel de</t>
  </si>
  <si>
    <t>Josef Miguel de Muros</t>
  </si>
  <si>
    <t>…wí&lt;Jb'cén^'déFíüt González deBer- f , o medb fel gobierhGrde Chrloe en el reino del P^iií’. ° , r i. LU EI'-Rbít"ht^stro -Señor :#i; • áteíicidrv'á "los '•-Ai’dntbs y tervtciós de D. Josef Miguel de Muros, graduado efe tomisáfió ordenador de marina, se ha dignaido concederle íos honores' dé* té-'-dé^ marina. Por providencia del Sr. D.Vicente García Cavero, del Consejo db S. M., su al calde de Casa' y Corte, se ha mándala citar .y emplazar á los acreedores igno…</t>
  </si>
  <si>
    <t>Muzquiz, Martin Xavier</t>
  </si>
  <si>
    <t>Martin Xavier Muzquiz</t>
  </si>
  <si>
    <t>…Luis Lujan y Monroy, subdelegado de pósitos del partido de Arenas-dé-San Pedro, y D. Nicolás María Arizmendi, comisario de Marina graduado. C Ó R'R E.G I D O R ES. De Guipúzcoa. A D. Martin Xavier Muzquiz, oidor del Consejo de Navarra. ' - ' ; De XJtiel. * A D. Francisco Manes. , ' . , ■ De Vivero. ' &gt; A D¿ Nicolás Bartolomé Alvarez Pardo. u . • ^ r De Carrion de los Condes. A D. Julián Bringas. ALCALDES MAYORES. . ^ T , De Medina de las Torres. " ‘ ^ A D. Car…</t>
  </si>
  <si>
    <t>Ñ, C.</t>
  </si>
  <si>
    <t>C. Ñ</t>
  </si>
  <si>
    <t>…llán de honor, 300. Núm. 294. D. Andrés Gasaña 100. Núm. 295. D. L, Y. 320. Núm. 296, Los señores cuestores deí bardo del cuartel de Afligidos 706. Núm. 297. D. F.G. 60. Núm. 298. Doña C. Ñ* 20. Núm. 299. Los señores cuestores del cuartel del Barquillo , por la demanda de la presente semana, 3017 rs. y 16 mrs. Núm. 300."D. N. 100. Núm. 301. Doña J. L. 40. Núm. 302. El Excmo. Sr. conde de Altatfiira 1©. Núm. 303. D. Agustín de la Hoz 6ó. Núm. 304…</t>
  </si>
  <si>
    <t>N, D</t>
  </si>
  <si>
    <t>D N</t>
  </si>
  <si>
    <t>…álico 22 rs. y 12 mrs , y 2077 rs. 25 £ mrs. en intereses de vales Reales. Núm. 411 D N. 60. Núm. 412. Eí Excmo. Sr. conde de Sámago 400. Nú mero 413. D F. D. C. M. 271. Núm. 414. D. D N. 200. Núm. 415. Don N. r6o. Núm 416 D. Manuel de Zaldivar 100. Núm. 417. El señor cura de S. Sebastian de Madrid, por limosnas recibidas de sus feligreses, 60. Número 418. D. N. 20. Núm. 419. D. Ramón Cazcarro, de la congregación de San Felipe Ncri de esta cor…</t>
  </si>
  <si>
    <t>N, Eusebia de</t>
  </si>
  <si>
    <t>Eusebia de N</t>
  </si>
  <si>
    <t>…. 168. D. J. J, J. 332 rs. y 32 mrs. Núme ro 169. D. M. P. 20. Núm. 170. D. J. H. 120. Núm. 171. Doña M. B. iock N úm. 172. D. N. 20. Núm. 173. D. Cristóbal Sorribas 4a. Núm. 174. Doña Eusebia de N. 20. Núm. 175. Doña Isabel Simón 40. Núm. 176. D. Juan Villena 40. Núm. 177. D. S. R. 300. Núm. 178. D. F. R. 30. Núm. 179. D. B. Y. 40. Núm. 180. D. P. F. 60. Núm. 181. Doña MaríaVindel, viu da, 20. Núm. 182. D. Miguel Carrera 20. Núm. 183. D. N., feligrés de…</t>
  </si>
  <si>
    <t>N, M.</t>
  </si>
  <si>
    <t>M. N</t>
  </si>
  <si>
    <t>…Monttnorenzi y de S. Fernando Luís 2®. Nutn. 112. El señor cura de Santiago de Madrid, por limosnas recibidas de sus feligreses &gt; 730. Núm. 11V. D. Gerónimo Bueno too, Nutn. 114. D. M. N. 20. Núm. 115. El señor'cura de S. Pedro de Madrid, de limosnas que le han dado sus feligreses, 26. Núme ro iió. D. N. X. 40. Nutn. 117. D. M. D. S. y D. 100. Núm. 118. Don E. C. 60. Núm. 119. D. M. C. y M.C. tres libramientos de intereses de va les Reales imp…</t>
  </si>
  <si>
    <t>…or limosna recibid ;da de un feligrés, 320. Núm. ,659. JEl reverendo abad y cabildo de la cole gial de Olivares 1®. Núm. 6&lt;5o. Doña S. S. 60. Núm..661. D. J. E. M, too. .Núm, 662. Doña M. N. 320. Núm. 663. Un feligrés de S. Pedro de Ma drid , por mano de su párroco, 8. Núm. 664. D. J. T. A. 60. Asimismo se lia suscrito: Núm. 51. El limo. Sr. obispo de Albarracin con 2 reales, diarios por es pacio de cuatro meses- . ‘ Los recibos de intereses, de…</t>
  </si>
  <si>
    <t>N, Máría</t>
  </si>
  <si>
    <t>Máría N</t>
  </si>
  <si>
    <t>…ría Fernandez, discípula y pasanta de la Real escuela del barrio del Buen-Suceso: Doña Juana Isidora Salgado, discípula y pasanta dé la Real escuela deF barrio dé $. Antonio Abad: Doña Máría N¡-r dó, discípula y pasanta dé la Real escuela ¿fel barrio de Mpnterey: Doñí' María Caballero, discípula pasanta dé la Real escuela del barrio de S-Plá cido: Doña Polonia Büsé ,. discípula y pasánta dé ía Real esbuéíá del birftó* del Humilladero: Dona Antonia…</t>
  </si>
  <si>
    <t>N, N.</t>
  </si>
  <si>
    <t>N. N</t>
  </si>
  <si>
    <t>…157. D. J. L. T. 60. Núm. 158. Doña N. 6. Núm. 159. Doña F. V* 100. Núm. ióq. D. A. R. Z. 100. Núm. 161. D. J. A. A. 120. Nú mero 162. D. N. 320. Núm. 163. D. F. F. 60. Núm. 164. D. N. N. 133. Núm. ió$. Pablo de la Cuesta 10. Núm. 166. D. Josef María de Pando 500. Núm. 167. D. K. Z. 20. Núm. 168. D. J. J, J. 332 rs. y 32 mrs. Núme ro 169. D. M. P. 20. Núm. 170. D. J. H. 120. Núm. 171. Doña M. B. iock N úm. 172. D. N. 20. Núm. 173. D. Cristóbal…</t>
  </si>
  <si>
    <t>…us^teli^esesi, 610. Nútn. 203. Du N. N. :6b. Núm, 204; B. J. M.dy:R*i&amp;QtrNS;m.?205. Doña 7N. y Doña -N. 2q. Núm. 206. D. J. G. X. 2oon Núm.' 2-67* D. Manuel Trasvina 2®. Núm. 208. Doña N. N. 4.0. Núm, 209K D. =A. A. de G. 200. Núm. 210. D.T. y maestro de obra prima, siis oficia les-y ribeteadora.} 140. Núm. 211. D. Francisco Perez 160. Núm.* 212. D. N. 60. Núm. 113. Don 7N. 20* Núm. 214. &gt;El señor cura, de S. Ginés de Madrid , por iimosná reci-</t>
  </si>
  <si>
    <t>…m. 2i6/El?^^r cura de S. Qinés.de Madrid, por limosnas recias de sus feligreses, 190. Núm. 217. D. N. 100. Ñúm. 218.’D. Martin Gil y ¿ar ces 500. Núm.219. Doña N.-A7 ^d;'Num;-22o. D. N. N. 24. Núm. 221. D. N. 320. Núm. 222. D.SantiágodlóbfédbUooYNúm. 223. D..A. O. 400. ^.m-,:2r2¡fe.-Kfty80. Núm. 225. -El Exorno. Sr.rduque de Veragua 500. Núm. 226. D. Manuel Hernández d$,Gregorio 160. Núm. £27. La;co-? igunidftd trinitarios Calzados "de $sia nor…</t>
  </si>
  <si>
    <t>N, P.</t>
  </si>
  <si>
    <t>P. N</t>
  </si>
  <si>
    <t>…ón y del Estado.” Continúa la lista de los sugetos que kan contribuido 3 y se han suscrito en Madrid para socorrer d los pueblos epidemiados. Núm. 107. Doña M. F. 80 rs. Núm. 108. D. P. N. 100. Núm. 109. Don</t>
  </si>
  <si>
    <t>N., N.</t>
  </si>
  <si>
    <t>N. N.</t>
  </si>
  <si>
    <t>…2. D. A. L. 120. Núm 403. D: B. J F. 120. Núm. 404. D. M. y R. óo. Núm. 403. Los señores cuestores del cuartel de Maravillas, por resto de la demanda de su cuartel, 896. Núm. 406. D. N. N. y Doña N. N. 300. Número 407. Don Pablo Diez t 20. Núin. 408. Los testamentario^ de Doña María de los Ange les Barcenilia 1500. Núm. 409. D. D. N. 6o- Núm. 410. D. Josef Royo en metálico 22 rs. y 12 mrs , y 2077 rs. 25 £ mrs. en intereses de vales Reales. Núm. 411 D N. 60…</t>
  </si>
  <si>
    <t>Na, Antonio</t>
  </si>
  <si>
    <t>Antonio Na</t>
  </si>
  <si>
    <t>…oyaban su derecha á un monte, y su iz quierda á una gran laguna vadeable: formé la batalla á su frente, y desplegué la guerrilla á las órdenes de los tenientes Di Mariano Peraza y D. Antonio Na ranjo , manteniéndome firme; y mandé al ayudante general de la caballería de esta división D. Luis de Aguado para que dirigiese los dos restantes escua drones por donde creyera mejor el ataque: á poco rato los vi por mi derecha que atacaban al galope el flanc…</t>
  </si>
  <si>
    <t>Nadales, Ramón</t>
  </si>
  <si>
    <t>Ramón Nadales</t>
  </si>
  <si>
    <t>…surgente Urdaneta estuvo casi en las manos de nuestros valientes, pues saliendo aturdido en camisa de su alojamiento, le tiró una lanzada el subteniente de] cantón del Chaguaremal D. Ramón Nadales ; mas este tuvo el sentimiento de errar el gol pe, y entonces e! traidor se refugió en una casa, y por un corral se tiró ai rio. No puede figurarse V. E. el espanto que causó á los enemigos esta sor presa tan bien dirigida: una infinidad de cajas y cornetas n…</t>
  </si>
  <si>
    <t>Nápoles, Luisa Carlota de</t>
  </si>
  <si>
    <t>Luisa Carlota de Nápoles</t>
  </si>
  <si>
    <t>…rles interi— nq de Estado, la plausible noticia de- haberse celebrado en 'aquella corte el matrimonio del Sétimo. Sr. Infante D. Francisco de Paula con la Serma. Seño-’ ra Infanta Doña Luisa Carlota de Nápoles el dia 15 de Abril próximo pasa do, á las ii de la mañana, en la Real capilla de palacio, por poderes qué dió S. A. el Sermo¿ Sr. Infante al Sermo. Sr. Príncipe de Salerno. Asistieron á tan solemne acto los embajadores y ministros extrangerosy los gefes y em…</t>
  </si>
  <si>
    <t>…usible noticia de haberse cele brado el dia 15 del pasado Abril, en la corte de Ñapóles, el.desposorio de mi amado Hermano el Infante D. Francisco de Paula Antonio con la Princesa Doña Luisa Carlota de Nápoles. Tendráse entendido en el mismo Consejo, y se comunicará á quienes corresponda. = Rubricado." Resumen de las últimas noticias sobre sanidad pública. •; EíTlas provincias literales del reino la salud pública sigue muy bien, y para 'su conservación ,se observan…</t>
  </si>
  <si>
    <t>Naranjo, Antonio</t>
  </si>
  <si>
    <t>Antonio Naranjo</t>
  </si>
  <si>
    <t>…mi regimiento se han portado con el valor que acostumbran, y que es á V- S. bien conocido ; pero no puedo1 menos de recomendar particular mente á los bizarros t). Mariano Peraza y D. Antonio Naranjo, tenientes de este regimiento; á los activos ayudantes D. Cosme Rodríguez y D. Luis de Aguado; al alférez de la séptima compañía D. Antonio Sandoval; al sargento primero Josef Serrano; al segundo Josef María Sierra; al cabo primero Josef María Pernálete; al d…</t>
  </si>
  <si>
    <t>Naranjo, Antonio Manuel Molina y</t>
  </si>
  <si>
    <t>Antonio Manuel Molina y Naranjo</t>
  </si>
  <si>
    <t>…que quisiere hacer postura á ella acudirá ante dicho señor y citada escribanía dentro del término de 30 días, contados desde el de la fecha, que se le admitirán las que hiciere. ; D. Antonio Manuel Molina y Naranjo, que en él año de 1805 servia eri el cuer po de caballería de Blandengues de la frontera de Buenos-Aires, se dallaba en Agostó de 1808 de alférez del batallón de Buenos Aires en el egército de Galicia, en la península, y en Octubre del mismo año, habiendo caí…</t>
  </si>
  <si>
    <t>Naranjo, Francisco</t>
  </si>
  <si>
    <t>Francisco Naranjo</t>
  </si>
  <si>
    <t>…z, y á distancia de un tiro largo de fusil del punto que se iba á sorprender, y con la primera sección compuesta de la compañía de cazadores y granaderos al mando'de los tenientes D. Francisco Naranjo y D. Josef María Ferra, me dirigí al citado cantón, comunicando por medio de mi ayudante teniente D. Juan Romualdo Gil que al quien, vive que diese cualquier soldado y no se lé Cónte^ase se hiciese fuego ; péró en tendida mal h orden por el sargento primero de cazadores, rompió el'…</t>
  </si>
  <si>
    <t>Narciso</t>
  </si>
  <si>
    <t>…u existencia y legitimidad; previniéndoles que como no sea las cláusulas de bau tismos y casamientos de ios dichos, todo obra en poder dei mismo, y también las de los bautismos de D. Narciso y D. Antonio. En Marzo del año pasado de 1817 faüecip en la villa de Ribera del Fresno Fe lipe García, vecino de ella, bajo la disposición testamentaria que otorgó en 14 del mismo mes y ano, y en la que instituyó por heredero universal de todos sus bienes á su hijo ú^ico…</t>
  </si>
  <si>
    <t>Nauekhof</t>
  </si>
  <si>
    <t>…bles cada una por diferentes respetos, como son el cirujano BierJkeen , el botánico Swartz, los poetas Oxenstiern y Adlerbeth , el obispo y orador Wingaerd, el general Veguack,.el almirante Nauekhof, los ricos ha cendados Fersen y Posen, célebres por su patriotismo &amp;c.</t>
  </si>
  <si>
    <t>Nava, Pascual de</t>
  </si>
  <si>
    <t>Pascual de Nava</t>
  </si>
  <si>
    <t>…Cayetano Morell ,&gt; vecino de ia Havana , para que pueda usar la condecoración de la Flor de Lis con que le agracio S. M. Cristianísima pot su adhesión á la Causa de los Berbenes. D. Pascual de Nava, capitán agregado al estado mayor de la plaza de Valencia, penetrado de las circunstancias actuales del Real erario, ha supli cado al Rey nuestro Señor le permita ceder, á beneficio del mismo, la can tidad de 8554 rs. que le corresponde por sus sueldos vencid…</t>
  </si>
  <si>
    <t>Navarrete, Josef de</t>
  </si>
  <si>
    <t>Josef de Navarrete</t>
  </si>
  <si>
    <t>…echez deja sala de- clase del colegio no pudo permitir la entrada al publico hasta los dos últimos. El acto principió, pronunciando un breve discmrso el subdirector de (a sociedad D. Josef de Navarrete, capellán de honor de S. M., y de su Conse jo en el tribunal de la Rota; y en seguida, leyó otro análogo á la enseñanza el maestro director de ella D. Tiburcio Hernández, socio de mérito y censor del expresado Real cuerpo. ' 1 Después fueron examinados'todos…</t>
  </si>
  <si>
    <t>Navarro, Blas</t>
  </si>
  <si>
    <t>Blas Navarro</t>
  </si>
  <si>
    <t>…ngleses; y no habiendo tenido noticia de su persona, se suplica á quien sepa de él se sirva comunicarla á su padre, que vive casa del pasadizo del .Rastro, cuarto bajo, número 10. D. Blas Navarro, comerciante y residente en la ciudad de la Goruña, desea sa ber de los herederos de D. Miguel Ovario Montenegro para comiínicarlcs un asunto que les interesa. En la villa de Haro, obispado de Calahorra, provincia de Rioja, se halla vacante la obra pia de la…</t>
  </si>
  <si>
    <t>…is'ióriádjp "¿por el íte'al y. supremo Consejo dé Castilla para llevar á efecto Ja transáciori practicada ppr el ifúsÚre ayuntamiento de dicha ciudad con los herederos dé!'difunto D. Blas Navarro" Spuéhe^ab^teéedolr í|e‘carnes qué fue de la misma, aprobada por dicho superior tribu-ñaf én lós áútbs que-en virtud de dicha comisión sé sigúeii ante S. S. y ofició d$ Don., Julián Carbonell.en 2é.de-Octubre último, se Jian mandado sacar á venta en.pijbjica…</t>
  </si>
  <si>
    <t>Navarro, Francisco</t>
  </si>
  <si>
    <t>Francisco Navarro</t>
  </si>
  <si>
    <t>…Miguel Perez 2® rs. Núm. 39. Doña N. 100. Nóm. 40. D. Santiago Conde 60. Núm. 41. D. Manuel Ximenez 20. Núm. 42. Doña Manuela Alvarez 20. Núm. 43. D. Manuel Alemp.te 320. Núm. 44. Don Francisco Navarro, bordador, 60. Núm. 45. Los oficiales de D. Francisco Navarro, maestro bordador, 130. Núm. 46. D. Juan de Lecanda 100. Nú mero 47. D. Ramón Ramos y Poveda 100. Núm. 48. D. N. 40. Núm. 49* D. Laureano Ramos y Peña 20. Núm. 50. D. Juan Antonio Salcedo, cura de…</t>
  </si>
  <si>
    <t>Navarro, Josef Ayuso y</t>
  </si>
  <si>
    <t>Josef Ayuso y Navarro</t>
  </si>
  <si>
    <t>…amon: Modet y D. Ramón Macía Lleoparf, a D. V ícente .Borja , alcalde del crimen, de la misma, y á D. Dalmacio Alpuente, fiscal de U*. civil del propio tribunal: para esta plaza á D. Josef Ayuso y Navarro, que lo es del crimen de la mis ma; y para esta resulta á D. Fermín Gil. de Linares, fiscal del consejo de Navarra. Paralas cuatro plazas de alcaldes del crimen de dicha audiencia</t>
  </si>
  <si>
    <t>Navarro, Juan</t>
  </si>
  <si>
    <t>Juan Navarro</t>
  </si>
  <si>
    <t>…se la tropa de la sección de mí cargo que había marchado á Capula, y á las ocho de la noche marché con toda ella en tres trozos, mandados por el teniente coronel D. Luis Cortazar, capitán D. Juan Navarro y por mí, con dirección, á la hacienda de Tecacho, y en los cerros inmediatos logramos apoderarnos de 220 caballos del cabecilla Huerta, con que se remontaron los dragones y rea listas, quedando una parte de la presa y los deshechos á disposición de* V. S. .e…</t>
  </si>
  <si>
    <t>Navarro, Justo María Ibar</t>
  </si>
  <si>
    <t>Justo María Ibar Navarro</t>
  </si>
  <si>
    <t>…r satisfacción quede causaban los adelanta-^ mientes que notaba; dando en esta ocasión una nueva prueba de su buen gus to y de la predilección que le irigrecen las artes. El limo. Sr. D. Justo María Ibar Navarro , ministro jubilado del Con*» seio de Castilla, y honorario de su Real Cámara, y el Sr. D. Alejandro Do* larca ; ministro del Real de las Ordenes , á nombre del ayuntamiento de la ciudad de Pamplona han tenido la honra de exponer al Rfcy el vivo dolor qué cau…</t>
  </si>
  <si>
    <t>Navarro, Vintila</t>
  </si>
  <si>
    <t>Vintila Navarro</t>
  </si>
  <si>
    <t>…Angulo, el cual supe que con 160 hom bres de caballería estaba en aquel punto : al mismo tiempo mandé por-detras de una montaña, por la izquierda, al teniente coronel de egército D. Vintila Navarro con la columna de caballería del centro, para sorprenderlos y coger los entre dos fuegos pero no llegaron al mismo tiempo, porque se anticipo algunos instantes el bizarro Gómez, y hiendo decidida á su tropa presentó la acción á Angulo, que tenía su gente form…</t>
  </si>
  <si>
    <t>Ncsti, Francisca</t>
  </si>
  <si>
    <t>Francisca Ncsti</t>
  </si>
  <si>
    <t>…on á 19 de Setiembre pró-ximo pasado acordaron se cite y líame, como se hace por este periódico,, á Benita Joaquina García Macho, natural de esta corte, Juliana García de Afóralo ,Doña Francisca Ncsti,' de la Pola de Siero,y Dona An tonia Lusigo, déla ciudad de Oviedo, Jas cuales fueron elegidas &lt;eri 24 de Abril de 1803 para la obtención de cuatro dotes de á xoo ducados verificado que fuese su casamiento, ó que profesasen en religión; á fin de que en el té…</t>
  </si>
  <si>
    <t>Nebot, Josef</t>
  </si>
  <si>
    <t>Josef Nebot</t>
  </si>
  <si>
    <t>…de Castilla; D. Agustín Perales &gt; oficial deJá secretaría de Estado y del Despacho de Marina, y Don Josef Agustín Lobaton, capitán de navio de la Real Armada. . Supernumerarias. A D. Josef Nebot, comisario de Guerra; D. Benito Lápicdra, comisa rio ordenador honorario; al conde de Regla marques de S. Cristóbal, gentil» .hombre dq Cámara ; D. Antonio López de Haro, alguacil mayor y regidor perpetuo de Alcaraz; D. Rafael Fausto,Florín,, intendente gradu…</t>
  </si>
  <si>
    <t>Negrece, Joaquín de Rozas</t>
  </si>
  <si>
    <t>Joaquín de Rozas Negrece</t>
  </si>
  <si>
    <t>…l concejo, justicia y regí miento de la villa dé Oreja sobre el modo de repar tir algunas tierras. =rUn borrador de escrito, y dentro de él una certificación dada por el escribano D. Joaquín de Rozas Negrece, qüe ló fué del Real Con sejó de ,OrdénéSf= CuStrÓ* testimonios sueltos, y asírñiSníó un libro emperga minado, que en su carpeta dice: Compulsa dé las cuentas de propios de la villa de Oreja correspondientes á los años desde el de 1586 hasta el de 1617 , ambo…</t>
  </si>
  <si>
    <t>Negrillo, Juan Blasco</t>
  </si>
  <si>
    <t>Juan Blasco Negrillo</t>
  </si>
  <si>
    <t>…casa nutrí. 5.0, cuart'ó principal, anté elSr. D. Josef Villar y Frontín', secretario director de las en comiendas que poseyó el Sermo. Sr. Infante D. Antonio (q. e. p. d.), y el coronel D. Juan Blasco Negrillo, contador general de las mismas ; en inteli gencia de que hasta el referido dia se admitirán las mejoras que quieran hacer se con arreglo á. las condiciones que se manifestarán, y bajo'Jas', cuales se ha. de practicar el expresado último remate. * V' ' El lav…</t>
  </si>
  <si>
    <t>Neíra, Joaquín</t>
  </si>
  <si>
    <t>Joaquín Neíra</t>
  </si>
  <si>
    <t>…mis ni o tiempo lo hirieron en el brazo derecho, por lo que no continuó en la acción , pues huho.de hacerlo el teniente de cazadores del segundo batallón del regimiento de Granada Don Joaquín Neíra, quien después de haber animado-á su tropa abordó á una de las-flecheras enemigas , acompañado del sargento segundo del batallón de ía Reina Josef Urbáis, un soldado del mismo batallón Josef Angel Moreno, dos granaderos del regimiento de Granada Anacleto Barb…</t>
  </si>
  <si>
    <t>Nelvil</t>
  </si>
  <si>
    <t>…cada de la qu’e escribió en frafteft madama de Stáél.; Esta novela reúne el interes dé un viage al placer dé la imaginación en la bren urdida fábula de los amoíés de Corina con el lord Nelvil. Este tomó con»•tiene la'historia del lord, y se trata de la literatura italiana, de las estatuas y de los cua dros , de las fjestas populares: se da la descripción del reino,y ciudad de Ñapóles, j se forma la pintura de una erupción del Vesubio, que se repre…</t>
  </si>
  <si>
    <t>…bió en francés mada-i roa de Stael. En este tomo se. contiene la historia de Corina y su viage á Escocia: Já despedida de Roma y la descripción de Venecia, y los nuevos amores del lord Nelvil con Lucila- Se halla de venta en la librería de Escribano, calle de las Car retas, á 11 rs. en rústica y 14 en pasta, donde se venden sueltos los tomos anterkn res al misino precio, y se admiten las suscripciones á 9 rs. en rustica y 12 en pasta, y en las pro…</t>
  </si>
  <si>
    <t>Neto, Miguel</t>
  </si>
  <si>
    <t>Miguel Neto</t>
  </si>
  <si>
    <t>…ografía» ■' ESPAÑA.-; - ■ , , " . • M'ahon i$ de Diciembre. . Estado que manifiesta los barcosv que existen incomunicados en este la zareto hoy dia de la fecha. i.° Fragata Union, capitán Miguel Neto, español, procedente de Tangeroff, con trigo., 30 dias de cuarentena. A z.° Bergantín Scípion, patrón Juan Bono Escafino y sardo, de TangéroflJ. i con trigo, 30 idemiw 3.® Bergantín Leónidas, patrón Juan Hernández:, español, de Cafa , coi* trigo y cebada, 30…</t>
  </si>
  <si>
    <t>Netterstedt</t>
  </si>
  <si>
    <t>…brado una co misión de Gobierno compuesta de cuatro individuos , que son el ministro-de la Justicia conde Gillembórg; el mariscal del reino conde Fleming; el canciller de la corte'conde Netterstedt, y el teniente general conde SkioídebrandK , ............" ' 1 ■' ■ ■ PRUSIA. ' \ - Breslau 4 de Setiembre, Ayer á las 8 de la noche liego aquí el Rey con S. A. R. el Príncipe Car los. En las cercanías de esta ciudad -habrá grandes revistas militares, y se cr…</t>
  </si>
  <si>
    <t>Ney</t>
  </si>
  <si>
    <t>….0 de que se compone esta obra se hallarán en la librería de Campo, calle de Alcalá, y en la de Perez, calle de las Carretas, y pla zuela del Angel, frente á los cajones. Vida del mariscal Ney, duque de Elchingen y príncipe de la Moskowa, en la que se refieren sus proezas en las campañas de Suiza, Austria, Prusia, España, Por tugal y Rusia, las que le elevaron al alto grado de mariscal del imperio francés, con una relación de su vida privada y caus…</t>
  </si>
  <si>
    <t>Ni</t>
  </si>
  <si>
    <t>…iembre. Continua la lista de losjugetos que han contribuido en Madrid para so correr los pueblos epidemiados. Número 584. Doña N, 320 rs. Núm. 585, D. J. D. M. R. 80. Número. 586. Doña Ni 40. Núm.-587. El limo. Sr. dé-an y cabildo de la santa iglesia eatedral de Málaga 1500. Núm. 588. El cabildo de escribanos de número.de&gt; Madrid 1©. Núm. 589* Un bienhechor 190. Núm. 590. D. Josef Royo, por el producto de los recibos de interesas de vales que:…</t>
  </si>
  <si>
    <t>Ni, Mateo</t>
  </si>
  <si>
    <t>Mateo Ni</t>
  </si>
  <si>
    <t>…res tercios del año por el receptor de Propios de la misma ciudad.- Los aspirantes á ella deberán presentar sus memoriales con dirección a! secretario del ayuntamiento mas antiguo D. Mateo Ni colás Sanz Teliez, quien los recibirá halta el 15 de Enero del año próximo de 1820: previniéndose que dicha cantidad se pagará religiosamente; pero el agraciado ha de satisfacer de ella lo que le toque por reparto de Reales contribuciones, y se pro veerá segú…</t>
  </si>
  <si>
    <t>Ni, N.</t>
  </si>
  <si>
    <t>N. Ni</t>
  </si>
  <si>
    <t>…Núm. 2.7.9. Pr 29. Núm. .a8a Doña A. 80. Núm. 281* EL señor cura de S. Salvador de Madrid, per' limos nas recibidas de sus feligreses;, sáo^Núm. 282. Dpña F. H, Ao2oOi;Ñúmerp 283. D. N. Ni 160.. Núm. 284L P. J. de M. de.C. 5QQ, Ñúm;. a8&gt;. Doíi Y. P. de L. roo, Núm. 286. D, JM D- M. ioo&gt; Núm 287- Doña Ri PL 200. Asimismo se haOi sÚSGrit9 lo señores siguientes :r:i T r ;; ¡ &gt; Núm. 31. Dj .Atlejo ¡Casado, durante la epidemia ^ cop, 39 rs. mensuale…</t>
  </si>
  <si>
    <t>Niccolrnj</t>
  </si>
  <si>
    <t>Dirigió la fiesta ef caballero Niccolrnj, arquitecto t #y , bajo sa, inspección bao trabajado los mejores artistas de la córte. . El Sr. D Joaquín Ponta, secretario del Excmo. Sr. duque de Berwick, y elegante poeta, compuso al asunto de la festividad una excelente oda italia na, que recibió S. M. co…</t>
  </si>
  <si>
    <t>Nico</t>
  </si>
  <si>
    <t>Caula y D. Pedro Fernandez; los subtenientes D. Migue! Rubio y D. Nico lás Baronesi, y el abanderado D. Leonardo del Valle. También son acreedo res á la estimador, de V. E. ei espitan comandante del cantón de Chaguaramal D. Hilario Torralba, y los capitanes D. Julián Matos y D. Josef Ga briel Hernández , como también el bizarro…</t>
  </si>
  <si>
    <t>Nicolás</t>
  </si>
  <si>
    <t>…rusos á las diez de la mañana, y los extrangeros á medio dia, para asistir al oficio divinó, y cumplimentar á SS. MM. el Emperador y la* Emperatriz madre, y á SS. AA. II. el gran duque Nicolás y la gran duquesa Alejandra. Las:damas iban vestidas con trage ruso, y los hombres con uni forme. El barón de Bersteds, ministro de Negocios extrangeros del gran duque de Badén, ha sido condecorado con la orden de S. Alejandro Newski. POLONIA. Varsovia 2$ de…</t>
  </si>
  <si>
    <t>r Ndm. 78. [5 diartos. J 64$ GACETA DE MADRID DEL MARTES 29 DE JUNIO DE 1819. RUSIA. Petersburgo 1$ de Mayo, El gran duque Nicolás saldrá de esta ciudad el 27 de este mes para hacer su viage de inspección á las provincias limítrofes del imperio én calidad de intendente en gefe de ingenieros y de construcciones militares: S. A. irá pri meramente á Riga» y desde allí á Robruiskock. POLONIA…</t>
  </si>
  <si>
    <t>…las aduanas. __ Francfort 4 de Junio. " ¿Aseguran que^se va á dar un mando importante en el mar Báltico al alr mlrante ingles lord S. Vicente. . * Ha salido de Petersburgo el gran duque Nicolás á pasar revista á las guar niciones de las plazas de las provincias fronterizas. Riga será el centro de sus operaciones. Ffanhetm 4 de Junio. Se hallan actualmente en Altona y en Hamburgo 8oo emigrados alemanes aguardando la ocasión de embarcarse para el Bras…</t>
  </si>
  <si>
    <t>Nicólas</t>
  </si>
  <si>
    <t>... $71 Efi Filipinas. El gobierno de Cávite al teniente, coróñél D. Nicólas delValle, sargento:mayor del batallón de ibfantería Príncipe Fernandor él de Zamboanga á-D. Mateo Lambeá , capitán de'granaderos del regimiento dei: Rey ^y é!";de;ías;islas Marianas á D. Josef Máría dél Yeíró, capitán de iá-; fahtería y del regimiento provinc…</t>
  </si>
  <si>
    <t>Nie, Ramón García</t>
  </si>
  <si>
    <t>Ramón García Nie</t>
  </si>
  <si>
    <t>…rtin en el año de 1739, para que en el término de 30 dias, contados desde la publicación de este aviso, acuda á deducir lo que le corresponda ante su merced y por la escribanía de D. Ramón García Nie to, escribano único del numero y ayuntamiento de la expresada villa de Morata; en</t>
  </si>
  <si>
    <t>Nieto, Luis Sánchez</t>
  </si>
  <si>
    <t>Luis Sánchez Nieto</t>
  </si>
  <si>
    <t>i v-w nn musgaño negro (i) que se le introdujo en el pecho; y experimentando di cada vez peores síntomas, dispuso su cuñado D. Luis Sánchez Nieto qnt se trajese un instrumento, y se le tocase la tarantela; lo que verificado asr Sé conoció haber sido acertado el juicio que formó de que la picadura era dé tarántula, pues levantándose el paciente con gran ímpetu de la cama ettroU pas menores, y á pesar de…</t>
  </si>
  <si>
    <t>Nieves, Julián</t>
  </si>
  <si>
    <t>Julián Nieves</t>
  </si>
  <si>
    <t>…, y as cendió al grado de Ttememe* coronel. * ' D. Juan Josef Cruces , natural del Pao. $e le concedió la nobleza perso nal; la medalla de oro, y el grado de teniente coronel; ¡ ' D. Julián Nieves, natural de S. Francisco de Tiznados. Fue confirmado en su empleo de capitán; obtuvo la nobleza personal, y ascendió al grado de íeniente coronel de cáballéríá.. ' . • D. Calixto Ramírez, natural de Maracaibo. Fue'confirmado en su empleo de capitán; se le dió…</t>
  </si>
  <si>
    <t>Nifo, Francisco Mariano</t>
  </si>
  <si>
    <t>Francisco Mariano Nifo</t>
  </si>
  <si>
    <t>…rractas’Noches muerte de'Clemente xiv ( Gánganelli), por D. Jorge Bertola, traducidas libremente del italiano al francés por dicho marques Caraceiolo , y de este al castellano por Don Francisco Mariano Nifo: 2 tomos en 8.a . ¿XJLd* EN LA IMPRENTA RE AT</t>
  </si>
  <si>
    <t>…icha librería se hallan ya de venta y corrientes 21 tomos en 8.® de la undécima y última impresión de las obras del eru dito marques de Catacciolo, traducidas á nuestro idioma por D. Francisco Mariano Nifo: los que se darán juntos ó separados. Apología de la Ig'esia católica apostólica romana, escrita en francés por Mr.' Vigne, ministro protestante en Grenoble., y traducida al castellano: un tomo en 8.* Véndese á 10 rs. en pasta y á 8 en rustica en las librería…</t>
  </si>
  <si>
    <t>Noailles, Justo de</t>
  </si>
  <si>
    <t>Justo de Noailles</t>
  </si>
  <si>
    <t>…. El marques de Latour-Maubourg, Par de Francia, ha sido nombrado embajador en la corte de Londres en vez del marques de Osmond; y se ase gura que el marques Maison reemplazará al conde Justo de Noailles en la embajada de Petersburgo, y el general conde Andreossi al marques de Riviere en la de Constantinopla. Se esperaba en Petersburgo al Emperador Alejandro el día 4 de Enero. Idem 29. En uno de estos días pasados recibid el Rey en audiencia particular á mons…</t>
  </si>
  <si>
    <t>Noguera, Hilario</t>
  </si>
  <si>
    <t>Hilario Noguera</t>
  </si>
  <si>
    <t>…y muy particularmente á los capitanes D. Juan Josef Hidal go, herido con dos balazos; D. Antonio Vázquez, que salió contuso; D. Be* nito Boves y D. Francisco Sainz; los tenientes D. Hilario Noguera; D. Juan Bolet, D. Josef Antonio García y D. Benito Ostos; los subtenientes D. Fran cisco Bolet y D. Manuel Rodríguez; los sargentos primeros Agustín Luqué y Pascual Soto, y los segundos Pedro Heredia y Paz Perez, distinguiéndose es tos individuos én todos lo…</t>
  </si>
  <si>
    <t>Nogueras</t>
  </si>
  <si>
    <t>…n en solo el camino principal 100 muertos, 300 fusiles, una bandera, un cañón, varias cajas de guerra y cornetas, y una tambora; y á las cinco de la tarde me dice desde Cariaco el comandante Nogueras: ,,Por diferentes veredas me están llegando continuas noticias de nuevos triunfos conseguidos por las tro pas destacadas á perseguir al enemigo/1 Lo que traslado á V. E. para su su perior conocimiento; añadiendo que por avisos posteriores del brigadier Círes,…</t>
  </si>
  <si>
    <t>Noguéras, Hilario</t>
  </si>
  <si>
    <t>Hilario Noguéras</t>
  </si>
  <si>
    <t>…&gt; eo t . /batallón de Barinas'donde sirve. :&gt; 1y Milicias de pardos de Valencia. Capitanes. D. Ramón Hidalgo, Don Casimiro Colon, D Fermín Pajdrázá, y D. Pedro María. ; Tenientes. D. Hilario Noguéras v D. Antonio Rodríguez y D. Josef Ama dor han sido confinmados en sus enipléos * y obtenido 1¿ nobleza personal.^ ■ - Capitanes de las guerrillas de Barinas. ‘ ©.'Francisco Xavier Palmero; Fue confirmado'cn su empleo con la nobleza personal y medalla de oro.…</t>
  </si>
  <si>
    <t>Nogues, Francisco Hernández y</t>
  </si>
  <si>
    <t>Francisco Hernández y Nogues</t>
  </si>
  <si>
    <t>…que son dé dictámen contrario á las pretensiones de los católicos. ESPAÑA. Madrid 3 de Diciembre. El día 5 de Octubre se dignó el Rey nuestro Señor admitir á besar su Real mano al capitán D. Francisco Hernández y Nogues, su ayuda de Cámara, y regidor en el banco de caballeros del ilustre ayuntamiento de la ciudad de Orihuela, en cuyo nombre tuvo la honra de felicitar á S. M. por su augusto enlace con la Serma. Sra. Doña María Josefa Amalia de Saxonia en los términos siguient…</t>
  </si>
  <si>
    <t>Noriega, Gabriel de Hevia y</t>
  </si>
  <si>
    <t>Gabriel de Hevia y Noriega</t>
  </si>
  <si>
    <t>…Valda, arcediano titular; el Exorno. Señor D. Tomas Aparicio Santih, colector general de Espolios y Va cantes, consejero honórário de Estado, arcediano de Madrid, y los canónigos D. Gabriel de Hevia y Noriega, decano del Consejo de la suprema -general Inquisición, y D. Cayetano Campos, cura del Real palacio, y ministro ho norario, del misino Consejo , tuvo la honra de felicitar ¿ SS. MM. por su au gusto y dichoso enlace, y besar sus Reales manos. ARTICULO D F. OFI…</t>
  </si>
  <si>
    <t>Noriega, Pedro Leonardo</t>
  </si>
  <si>
    <t>Pedro Leonardo Noriega</t>
  </si>
  <si>
    <t>…Ignacio Perez de Lente, oficjál dé la primera secretaría dé testado ; D. Josef Villar y Frontín, oficial de la secretaría dél Despacho dé Hacienda; Ddn Honorato Bouyon, brigadier; D. Pedro Leonardo Noriega, teniente coronel; D. Antonio Garfias y Patino, oidor honorario de la Real audiencia de Quitó; D. Juan Manuel de Elizalde, oidor de la Real audiencia de Manila; D. Jo sef Antonio de Andrade, coronel del regimienta de dragones provincialesde Nueva-Galicia; D.…</t>
  </si>
  <si>
    <t>Norza-f, Tomas</t>
  </si>
  <si>
    <t>Tomas Norza-f</t>
  </si>
  <si>
    <t>…a; los 12 gentileshombres ae boca y casa D. Benito Pra do, el barón de Casa-Davalillos, D. Josef Navarro del Dosal, D. Antonio deOñativia, D. Antonio Solana, D. Manuel.de Almarza, D. Tomas Norza-f garay, D. Josef Pascual Oto , D. * Josef Sesé, D Josef Diez, D. Simón Ma teo Perez y D. Donato Arranz; los ocho individuos ya nombrados del Real cuerpo de monteros de Cámara ; doce caballeros pages de S. M., acompaña dos de su ayo D. Miguel de Arechavala y do…</t>
  </si>
  <si>
    <t>Novas, Miguel</t>
  </si>
  <si>
    <t>Miguel Novas</t>
  </si>
  <si>
    <t>…j\relasco Ramírez,á D. Jüan Raut ista Arechederreta: , Asimismo se ha dignado S. M. nombrar paira da jplazíá de oidor de la Real audiencia de Sta. Fe, vacante por fallecimiento de D. Miguel Novas, á Don Josef del Barrio: para.otra plaza de oidor de la Real -audiencia dé Ghíircas4, vacañte por; promoción de D. Manuel Josef de Reyes á regente de la misma, i D. Mateo Mágariños ;! yapara el’empleó' dé teniente asesor de la Paz en eí vireinato del Perú á D…</t>
  </si>
  <si>
    <t>Novati</t>
  </si>
  <si>
    <t>…uyo . acaecimiento mandó en, . persona [el. mismo- Sr. D.. Cárlos ni puesto á la cabeza de los guardias Españolas, recuperando los reductos, y quedando prisioneros en la ciudad el general Novati, que mandaba la van guardia enemiga, con i» mayor parte de sus tropas por los regimientos de Reales guardias Walonas y Suizos de Nápoles; en la toma de -Nochera ; en el acantonamiento de la Romanía, y en Marzo de 4; en la marcha y paso del Tánaro por las inme…</t>
  </si>
  <si>
    <t>Novela, Beltran Riquelme y</t>
  </si>
  <si>
    <t>Beltran Riquelme y Novela</t>
  </si>
  <si>
    <t>…s de fragata de su Real armada á los guardias marinas D. Josef Qbregon y Villarroel, D. Quintín Sojo y Villasanta, D. Francisco Alvarez y Castillo, D. Leandro Báldesano y Aguirre, D. Beltran Riquelme y Novela, D. Carlos Butrón y Pareja y D. Francisco Miranda y Hoyos. Por providencia del Sr. 1&gt;. Manuel' Jósef Rubio, del Consejo de S. M., y te díente- corregidor de esta muy heroica villa', refrendada.dé sú escribano del húmero D. Jacinto Gaona y Loeches* se han mand…</t>
  </si>
  <si>
    <t>Novo, Juan Antonio</t>
  </si>
  <si>
    <t>Juan Antonio Novo</t>
  </si>
  <si>
    <t>…vo al objeto , que teyó el primer maestro director D. Cayetano Fernandez Villamil. Fueron examinados en aritmética D. Juan Josef Dayovich , D. Angel Urzaiz, D. Bartolomé Martine?, D. Juan Antonio Novo, D. Alejandro Rodríguez , D. Francisco Santos, D. Francisco Calderón y D. Antonio Blanco. E11 geometría elemental el dicho D. Bartolomé Martínez, D. Manuel Barbet, D. Mañuél Díaz,'O. Ramón Pepn , D. Josef Rodríguez Romero y EX Fermín Pedregal. En geometría pr…</t>
  </si>
  <si>
    <t>Novoa, Mariano Antonio de</t>
  </si>
  <si>
    <t>Mariano Antonio de Novoa</t>
  </si>
  <si>
    <t>…s de la misma, D. Ignacio Adalid Gómez de Pedroso, vecino de México; D.JNicolas Pícoaga, coronel graduado de milicias; D. Antonio Gutiérrez de UÍloa, in tendente de Nueva-Galicia; D. Mariano Antonio de Novoa, coronel dé mi licias; el brigadier D. Sebastián de Ríndelan; id. D. Antonio'-María Alvareé; D. Ignacio Perez de Lente, oficjál dé la primera secretaría dé testado ; D. Josef Villar y Frontín, oficial de la secretaría dél Despacho dé Hacienda; Ddn Honorato Bo…</t>
  </si>
  <si>
    <t>Nu, Joaquín</t>
  </si>
  <si>
    <t>Joaquín Nu</t>
  </si>
  <si>
    <t>…l, de Odessa, con trigo, 30 ídem. 7.0 Bergantín S. Buenaventura, patrón Lorenzo Ciar, español, de Caifa, con trigo, 30 ídem. 8 o Navio de guerra dé S. M. Asia, el capitán de navio D. Joaquín Nu®ez , de Veracruz y Cádiz. 9.0 Bergantín S. Josef (alias Ramoncito) , patrón Josef Püig, español, de Veracruz y Cádiz, con Café, azúcar y tabaco. 10. Bergantín S. Rafael ( alias el Mercurio), patrón Pablo Sorá, español, de Odes sa , con trigo , 30 dias de cuar…</t>
  </si>
  <si>
    <t>Nuiíez, Lorenzo Sánchez</t>
  </si>
  <si>
    <t>Lorenzo Sánchez Nuiíez</t>
  </si>
  <si>
    <t>…esacado con el mejor .orden y método alfabético del* gran dicciona rio dé las ciencias"médicas qué1 se publica én'r&amp;ís'con tanta aceptación de los sabids -de toda la Europa el Dr. D. Lorenzo Sánchez Nuiíez, médico consultor honorario de egército, y primero del hospital militar de S. Sebastian, ofrece á los facultativos de nuestra nación el cuadro mas exacto de las fiebres primarías Ó esenciales, llevado á Ja perfección por la reunión de los trabajos, luces y ex…</t>
  </si>
  <si>
    <t>Nuñe, Donato</t>
  </si>
  <si>
    <t>Donato Nuñe</t>
  </si>
  <si>
    <t>…En Madrid^ - 30631.'. 1000 idem. En idem. En virtud de providencia del Sr. D. Manuel Josef Rubio, del Consejo de S. Mv teniente corregidor de esta muy heroica villa, refrendada de D. Donato Nuñe¿, su escribano de número, se ha señalado para Ja celebración de una junta general d« acreedores de D, Antonio Coll, vecino y del comerció en esta corte, el dia i o de</t>
  </si>
  <si>
    <t>Nuñez</t>
  </si>
  <si>
    <t>…rde del propio día se me reunió el capitán D. Agustín Nuñez con 130 hombres de la sección de su cargo. El 15 seguí con dirección á S. Juan de Llanos, despachando por mi derecha al capitán Nuñez con 200 hombres de ambas armas, quien después de haber recorrido, el terreno que le designé, se me reunió é hicimos noche en la Tlachiquera. A lii supe-que Encarnación Ortiz, unido al Giro y otros rebeldes dei Bajío, habían llegado el día antes á Jas inmediac…</t>
  </si>
  <si>
    <t>Nuñez, Agustín</t>
  </si>
  <si>
    <t>Agustín Nuñez</t>
  </si>
  <si>
    <t>el objeto de recorrer toda la parte de la sierra al norte de ella. A las cinco de la tarde del propio día se me reunió el capitán D. Agustín Nuñez con 130 hombres de la sección de su cargo. El 15 seguí con dirección á S. Juan de Llanos, despachando por mi derecha al capitán Nuñez con 200 hombres de ambas armas, quien después de haber recorrido, el terreno que le designé, se me reunió é hicimos noche en…</t>
  </si>
  <si>
    <t>Nuñez, Donato</t>
  </si>
  <si>
    <t>Donato Nuñez</t>
  </si>
  <si>
    <t>…2 jr tnedia en punto. F.1 Sr. D. Manuel Josef Rubio, del Consejo de S. M., teniente corregidor de esta heroica villa, ha acordado, en providencia de 16 del corriente refrendada dé D. Donato Nuñez, escribano de su número, se celebre nueva junta de acreedores de D. Antonio Mandri y Camin, vecino y del comercio de esta corte, el domi- go 28'’ del mismo á las. nueve en. punto de su mañana en la posada de dicho señor. Lo qué se hace saber á los referidos a…</t>
  </si>
  <si>
    <t>Nuñez, Francisca</t>
  </si>
  <si>
    <t>Francisca Nuñez</t>
  </si>
  <si>
    <t>…pensados en diversas épo cas por sn fidelidad al Rey nuestro Señor f y distinguidos méritos en la pacificación de estas provincias&gt; con las gracias que d continuación se expresan. D. Francisca Nuñez, natural dé Barbacoas. Fue confirmado en su empleo</t>
  </si>
  <si>
    <t>Nuñez, Lorenzo Sánchez</t>
  </si>
  <si>
    <t>Lorenzo Sánchez Nuñez</t>
  </si>
  <si>
    <t>…do del artículo de fiebres y otros varios contenidos en él grande de ciencias médicas que se está publicando eá París por una numerosa sociedad dé sabios. Un tomo en 4.0 por el Dh D. Lorenzo Sánchez Nuñez, médico consultor honorario de egército, y primero del hospital mi litar de S. Sebastian. Véndese en la librería de Perez , callé de las Carretas, á 20 rs. á k'.ríiítica y á 24 en pasta, y los suscriptores podrán acudir á recoger la obra á dicha librería. A t…</t>
  </si>
  <si>
    <t>O, M. S</t>
  </si>
  <si>
    <t>M. S O</t>
  </si>
  <si>
    <t>…úm. 424 D. P. A S. 20. Núm. 425. Un criado de servir 10 Núm. 426. D. N, 80. Núm. 427. El señor cura de Sta. María de Madrid, por limosna recibida de una bienhechora ,60. Núm. 428. Doña M. S O. 40. Núm. 429. D. M. S M. 5:0. Núm. 430. D. N. 10. Núm. 431. D C. R. de P. 100. Núm. 432. D. N. 4. Núm. 433 bl ‘eñor cura de Santiago de Madrid, por limosnas recibidas de sus feligreses, 7®. Núm 434. D D G. T un vale co mún de 150 pesos , creación i.° de Enero…</t>
  </si>
  <si>
    <t>Ó-Donéll, Carlos</t>
  </si>
  <si>
    <t>Carlos Ó-Donéll</t>
  </si>
  <si>
    <t>…sociedad económica de esta capital y provincia celebró ehlj/tardé del 26 del corriente la junta públicay solemne de distribución dé premios en las sidas coi.sistofiales. El Excmo. Sr. D. Carlos Ó-Donéll, capitán général de Castilla la Vieja , su'director, dio principió á esté acto con un elefante ¡discurso alusivo al objeto de la junta. A continuación el socio JX Vicente Rü*bio leyó un elogio, de nuestro augusto Monarca, manifestando ser* ésta lá épo ca de l…</t>
  </si>
  <si>
    <t>O-Donell, Josef</t>
  </si>
  <si>
    <t>Josef O-Donell</t>
  </si>
  <si>
    <t>…estra entera.Rubricado de la Real mano dé i%9.= A D. Josef María de Alds.” ’ El Rey nuestro Señor se ha dignado conferir la comandancia general del campo je tiibraltar al teniente general D. Josef O-Donell; la de la proviri:cja de Tuy al mariscal de campo D. Josef Imaz; el gobierno de Gata , en Extremadura, .al capitán D. Antonio Amienta; el de! castillo de S. Felipe de la ría del Ferrol al coronel D. Manuel,¡Calderon de la Barca, que lo.era de</t>
  </si>
  <si>
    <t>Oámboa, Manuel Fernandez</t>
  </si>
  <si>
    <t>Manuel Fernandez Oámboa</t>
  </si>
  <si>
    <t>…usivamente según previenen sus estatutos. —-----------------h——----------r-i'-. &lt;?»■'.! i ,m..i jii »■ iiiii I I I I .1.1 I ■■ ...I., ji.t...■ ■'■■I..' .....m' Por eh juzgado' deí Sr. D. Manuel Fernandez Oámboa &gt; idél Consejo de S. M,¿ su álcalde de Casa y Corte , y por ia escribanía de provincia de I&gt;. Baldomcro Móraleda, se han seguido autos á instancia del P. Fr. Hetneterio Fernandez y procurado^ que fúe de la'causa de beatificación de la beata Mariana Sor María…</t>
  </si>
  <si>
    <t>Obregon, Mateo</t>
  </si>
  <si>
    <t>Mateo Obregon</t>
  </si>
  <si>
    <t>II (rj Genaro Rodenas, intendente de Salamanca , 200. Núm. 290. D, Nicolás Gar~ cía 60. Núm. 291. Doña X. B. 100. Núm. 292. D. J. L. L íoo. Núme ro 293. D. Mateo Obregon, capellán de honor, 300. Núm. 294. D. Andrés Gasaña 100. Núm. 295. D. L, Y. 320. Núm. 296, Los señores cuestores deí bardo del cuartel de Afligidos 706. Núm. 297. D. F.G. 60. Núm. 298. Doña C. Ñ* 20. Núm. 299. Los señores cuestores del cuartel del Barquillo ,…</t>
  </si>
  <si>
    <t>Ochoa, Andrés</t>
  </si>
  <si>
    <t>Andrés Ochoa</t>
  </si>
  <si>
    <t>…= Por ocupa ción del secretario en comisión, Josef Ramón Barberena, oficial primer©?:^ . 1 - Badajoz 2 de Agosto, - • El día 30 del mes1 de Julio último sufrió la pena de garrote D. Andrés Ochoa (alias VíUanuéva), compañero de los capitanes de ladrones llamados Merino^y-Melchor^ de^quienés se separó por* ciertas desavenencias*, y habieri-* do sido preso y conducido á esta capital, fué puesto en capilla dos días .des pués: de' su liégadavy á’JóS otros…</t>
  </si>
  <si>
    <t>Ochoa, Claudio Domingo de</t>
  </si>
  <si>
    <t>Claudio Domingo de Ochoa</t>
  </si>
  <si>
    <t>…remiados, y son los.siguientes: ciases. Lectura, primer premio á D. Josef Ferrer y Gundian. Escritura, primero á D. Josef María de Landa. Cuentas de enteros y quebrados, primero á Don Claudio Domingo de Ochoa. Doctrina de Fleuri, primero á D, Felipe Barto lomé de Ibárrola. Idem de Astete, primero á D. Vicente de Artiñano. Fá bulas de Samaniego, primero á D. Federico de Victoria. Dibujo, primero á D. Francisco Semprun. Idem segundo á D. Juan Ramón. Paternina. Idem…</t>
  </si>
  <si>
    <t>Ochoa, Josef Antonio</t>
  </si>
  <si>
    <t>Josef Antonio Ochoa</t>
  </si>
  <si>
    <t>…Aprobado de capítan , y el Don personal. Escuadrón de Tiznados. D. Josef Benedicto Brache, natural del Pao* Aprobado en su empleo de capítan, y obtuvo el Don personal. Capitanes■* D. Josef Antonio Ochoa, D. Manuel Felipe Ochoa, D. Aca rio Ramos, naturales de la villa del Pao. Aprobados en sus empleos de capí* tañes de milicias; la nobleza personal, y la medalla de oro á ambos Ochoas. Capitán de milicias de Cumand. D. Josef León Gómez. La nobleza per sonal.''…</t>
  </si>
  <si>
    <t>Ochoa, Ladislao Pedro de</t>
  </si>
  <si>
    <t>Ladislao Pedro de Ochoa</t>
  </si>
  <si>
    <t>…Fernandez Molina. Idem segundo á D. Gregorio de Olaeta. Gramática francesa, prime ro á D. Miguel de Mazarredo. Idem segundo á D. Francisco Semprun. Gra-* mática.latina, primero á D. Ladislao Pedro de Ochoa. Idem segundo á Don Antero Tutor. Matemáticas puras, primero á D. Bartolomé de Olaechea. Idem segundo á D. Isidro de Certucha. Idem tercero á D. Juan Bernardo de Uriarte. Segundo año: primero á D. Josef María de Aguirre; segundo á D. Carlos de Espinóla, y seg…</t>
  </si>
  <si>
    <t>Ochoa, Manuel Felipe</t>
  </si>
  <si>
    <t>Manuel Felipe Ochoa</t>
  </si>
  <si>
    <t>…el Don personal. Escuadrón de Tiznados. D. Josef Benedicto Brache, natural del Pao* Aprobado en su empleo de capítan, y obtuvo el Don personal. Capitanes■* D. Josef Antonio Ochoa, D. Manuel Felipe Ochoa, D. Aca rio Ramos, naturales de la villa del Pao. Aprobados en sus empleos de capí* tañes de milicias; la nobleza personal, y la medalla de oro á ambos Ochoas. Capitán de milicias de Cumand. D. Josef León Gómez. La nobleza per sonal.'' Capitán de milicias de…</t>
  </si>
  <si>
    <t>Ochoa, Pedro</t>
  </si>
  <si>
    <t>Pedro Ochoa</t>
  </si>
  <si>
    <t>…Pa checo, D. Josef Adan, D. Salvador Várela , D. Juan Mateo, D. Antonio Medina y D. Ramón Martínez. En la segunda D* Ignacio Várela , D. MañuefRodríguez Campo , D; Manuel-García, D. Pedro Ochoa, D. Francisco Herrera, D. Joaquín Meana .y D. Miguel Arrimada. En la tercera D. Josef Gutiérrezp. Carlos Santo,- D. Sebastián Romero, D. Antonio Medinilla, D. Juan Meáha y D. Francisco Bragne. En la cuarta y última D. Federico Rodríguez Campo, D. Josef Maurel…</t>
  </si>
  <si>
    <t>Oderiz, Juan Josef</t>
  </si>
  <si>
    <t>Juan Josef Oderiz</t>
  </si>
  <si>
    <t>1021</t>
  </si>
  <si>
    <t>…mplimiento. =1 Rubricado' dé la Real ,mnno. Dios guarde á V. muchos años. Madrid 31 de( Agosto de 1819.== Josef de Imaz. En atención á los distinguidos méritos y servicios del Dr. D. Juan Josef Oderiz, inquisidor fiscal de Logroño, decano qué fue de Cartagena de Indias, y á las pruebas que ha dado de su zelo por la tranquilidad de la América, ha venido S. M. en concederle la cruz de comendador de la Real orden Ameri cana de Isabel la Católica. . &gt; La junta…</t>
  </si>
  <si>
    <t>Odio, Francisco Josef</t>
  </si>
  <si>
    <t>Francisco Josef Odio</t>
  </si>
  <si>
    <t>…de fortificación de la misma plaza, y á D. Josef Árango , tesorerq de egé.FCÍto jubilado de la propia. Asimismo ha tenido á bien conceder Jos honores de oficial Real de Améri ca á D. Francisco Josef Odio, administrador de los ramos de propios de San tiago de Cuba; á D. Antonio Rafael Betancourt,,administrador de rentas de k viila ;de Sta. Clara; en la provincia de Puerto Príncipe de la isla de Cuba; á I). Miguel Bonilla, vecino de la Havana; á D, Juan Sayol ,…</t>
  </si>
  <si>
    <t>Oersted</t>
  </si>
  <si>
    <t>…2t DE DICIEMBRE DE 1819. DINAMARCA. Copenhague I&lt;T de Noviembre» A expensas de la Real Cámara de Rentas se ha publicado estos últimos dias una memoria muy curiosa, escrita por el catedrático Oersted y por Mr. Esmark, consejero de Justicia, acerca del resultado de las observaciones que se han hecho sobre los minerales que se encuentran en la isla de Bornholin, en donde las vetas ó capas de carbón de tierra son mas abundantes, y este mi neral de mejor cali…</t>
  </si>
  <si>
    <t>Oficio</t>
  </si>
  <si>
    <t>…andado. ; ■ t ' / ,,Dios guarde á V. E. muchos años. Xalapa Junio 26 de 1818. = Excelentísimo Sr. = Ciriaco de Llano. = Excmo. Sr. virey D. Juan Ruiz de Apodaca.” ' . " VALL ABOLI D. Oficio del coronel y comandante general Z&gt;. Matíás, Martin y Aguzrre. „Excmo. Sr. : En esta provincia de mi cargo no haoburrido novedad en la presente semana. ,,E1 fuerte de Jaulilla se está destruyendo, y su guarnición, aumentada con caballería y realistas, expedic…</t>
  </si>
  <si>
    <t>Oíáz, Damtaná</t>
  </si>
  <si>
    <t>Damtaná Oíáz</t>
  </si>
  <si>
    <t>…to'‘infantería de la Princesa, sus hijos ó sucesores, para que por sí ó pojr ihedio dé! procurador con; Suficiente poderjsalgan á lá declaración de herederos que tienen solicitada Doña Damtaná Oíáz dé-Düraha, viuda de D. Juan Joaquín de 'Basterra, y Doña B&amp;dfiga* Francisca de Basterra, madre y hermana respective;del 3&gt;. Francisco ; con apercibimiento que no lo verificando, en el expresado término les parará el.perjuicio que haya lugar. i. Manual de curi…</t>
  </si>
  <si>
    <t>Oiufsen</t>
  </si>
  <si>
    <t>…UEVES 25 DE MARZO DE 1819. DINAMARCA. : Copenhague 13 de Febrero. ; En |la segundea entrega _4e la Colección de observaciones de economía po lítica sobre Dinamarca, que publica el catedrático Oiufsen, se halla el si• guíente resúmen de los productos de ¿Ja agricultura en aquel reino. Los . de las semillas cereales nacen 1.887© toneladas anuales. Posee el estado 500© caballos, sin contar los potros; 1.205© cabezas de ganado de astas, sin comprender las cri…</t>
  </si>
  <si>
    <t>OJano, Pedro</t>
  </si>
  <si>
    <t>Pedro OJano</t>
  </si>
  <si>
    <t>…lso PJanzon ,SD. Fernando Perez de Rozas y Campuzano y D. Domingo Díaz: en la de matemáticas puras medallas acuñadas á pro pósito á D. Santiago Cocolina, y al cadete de artillería D. Pedro OJano: en da de dibujo una .medalla de oro á D. Benito Campo , y otra de plata á Don Francisco Schell* opositores al modelo de yeso: otra medalla de oro á-Dcn</t>
  </si>
  <si>
    <t>Ojeda, Francisco Javier de</t>
  </si>
  <si>
    <t>Francisco Javier de Ojeda</t>
  </si>
  <si>
    <t>…do de mo derna y sólida construcción, se halla tasado en la cantidad de 2.945,997^3. Las-per sonas que quieran hacer postura á Jas citadas fincas juntas ó separadas acudan ante el Sr. D. Francisco Javier de Ojeda , del Consejo de S. M- en el de Hacienda , juez ase sor general'de la Real Casa y Patrimonio, á quien está cometido,el cumplimiento de cjicfia venta, que se admitirán siendo arregladas-0é instruirá iáloslicitadores del.por ipenor de la tasación; en inteligenc…</t>
  </si>
  <si>
    <t>Ojeda, Francisco Xavier de</t>
  </si>
  <si>
    <t>Francisco Xavier de Ojeda</t>
  </si>
  <si>
    <t>…donde se les enterará mas por menor de suscircunstancias con vista de las tasaciones judiciales y condiciones de las posturas. : En virtud de orden de S. M., y por providencia del Sr. D. Francisco Xavier de Ojeda, de su Consejo Supremo de Hacienda/juez asesor general de la Real Casa y Patrimonio, se han mandado sacar á publica subasta 20$ pinos, que deben entresacar-se en los pinares del Real sitio de S. Ildefonso, y se hallan en estado de cortarse , de-, marcados por…</t>
  </si>
  <si>
    <t>…eñía su oficina en la plazuela de Sta. Cruz , casa num. 9 , se lis mudado á la de Barrionuevo, núm. 29, cuarto principal de la izquierda ; en cima de la fonda. Por providencia del Sr. D. Francisco Xavier de Ojeda, del Consejo de S. M. en el supremo de Hacienda, juez asesor general de la Real Casa y Patrimonio, se cita» llama y emplaza á todas y cualesquier, personas que puedan tener derecho á los bienes, quedados por fallecimiento abintes.táto qe Manuel Suarez, manceb…</t>
  </si>
  <si>
    <t>…ra vez al pregón 1 á su consecuencia se hace notorio por el presente, á fin de que las personas que quie ran hacer postura á las expresad» fincas juntas ó separadas acudan ante el Sr. Don Francisco Xavier de Ojeda, del Consejo de S. M. en eí de Hacienda, juez asesor general de íaTCcal casa y j&gt;atiim©iHO¡, vjue-se, admi^ránTsiefido arregladas* i instruirá</t>
  </si>
  <si>
    <t>…bien conceder un escudo de distinción á las valientes tropas que tan bizarramente se batieron á las órdenes del comandante D. Eu genio Arana. Por providencia de 20 de este mes del Sr. D. Francisco Xavier de Ojeda, del Consfejo de S. M. en el supremo de Hacienda, juez asesor general déla Real Casa y Patiimonio, refrendada de D. Alfonso del Pozo, escribano de S. M. y sus Reales caba llerizas , y para pago de acreedores se han mandado sacar á pública subasta por otros 15…</t>
  </si>
  <si>
    <t>…. y 17 mrs,, yen venta real, con inclusión de una casa del guarda y paredes de los cercados, 5.030,425 rs. Las personas que quieran hacer postura á la citada dehesa acudan ante el Sr. D. Francisco Xavier de Ojeda, dei Consejo de S. M. en el supremo de Hacienda,'juez asesor general de la Real Casa y Patrimonio, á quien está cometido el cumplimiento de dióha venta, por ante el escribano de Cámara de la junta suprema patrimonial de apelaciones, notario de los reinos, D.…</t>
  </si>
  <si>
    <t>Olabarria', Manuela</t>
  </si>
  <si>
    <t>Manuela Olabarria'</t>
  </si>
  <si>
    <t>…bril del propio añoy.á favor de Di Ramón Romané, y después de otros diferentes endosos, el último del primer vale lo fue en Madrid 4 10 de-Abril de 18 r i por D. Ramón de Angulo á Doña Manuela Olabarria'. El rsegundoipór.Di Manuel Loper Maestre, en Madrid 27 de Mayo de 1814, 4 D. Ale jandro Josef de Amírola. Ei tercero. por D. Mateo- Gil de Sola, en Madrid r.° de Abrirde 1814., 4 D-Andrés Fernandez. El cuarto por el .mismo Sola-, en 20 deMa-* JO' del propio a…</t>
  </si>
  <si>
    <t>Olaechea, Bartolomé de</t>
  </si>
  <si>
    <t>Bartolomé de Olaechea</t>
  </si>
  <si>
    <t>…Miguel de Mazarredo. Idem segundo á D. Francisco Semprun. Gra-* mática.latina, primero á D. Ladislao Pedro de Ochoa. Idem segundo á Don Antero Tutor. Matemáticas puras, primero á D. Bartolomé de Olaechea. Idem segundo á D. Isidro de Certucha. Idem tercero á D. Juan Bernardo de Uriarte. Segundo año: primero á D. Josef María de Aguirre; segundo á D. Carlos de Espinóla, y segundo idem á D. Juan Poéy. Geografía, primero i D. Juan Poéy. Estos premios consistian en…</t>
  </si>
  <si>
    <t>Olaechea, Segundo de</t>
  </si>
  <si>
    <t>Segundo de Olaechea</t>
  </si>
  <si>
    <t>…lución de problemas de primer grado con una sola incógnita, inclusive. Fueróm declarados por sobresalientes en dichos exámenes en la clase de lengua francesa D. Teodoro de Maruri, D. Segundo de Olaechea y D. Miguel</t>
  </si>
  <si>
    <t>Olaeta, Gregorio de</t>
  </si>
  <si>
    <t>Gregorio de Olaeta</t>
  </si>
  <si>
    <t>…primero á D. Francisco Semprun. Idem segundo á D. Juan Ramón. Paternina. Idem ter cero á D. Pedro Bergé. Gramática castellana, primero á D. Josef Fernandez Molina. Idem segundo á D. Gregorio de Olaeta. Gramática francesa, prime ro á D. Miguel de Mazarredo. Idem segundo á D. Francisco Semprun. Gra-* mática.latina, primero á D. Ladislao Pedro de Ochoa. Idem segundo á Don Antero Tutor. Matemáticas puras, primero á D. Bartolomé de Olaechea. Idem segundo á D. I…</t>
  </si>
  <si>
    <t>Olañeta, Pedro Ignacio de</t>
  </si>
  <si>
    <t>Pedro Ignacio de Olañeta</t>
  </si>
  <si>
    <t>…ro dé D. Joscf Oliva , capellán que; era del regimiento infantería1 de' Murcia; en el año* de* 1808y del de caballería! dé cazadores» de Valencia en 18r2 , se' sirva comunicarla á D. Pedro Ignacio de Olañeta, corredor drl número de la ciudad’y plaza’dé S. Sebastián dé Vizcaya. Descripción’ de un cesto en forma de nicho para* prestar pronto socorro eht los incendios, inventado por Mr. Regnier, antiguo cónsérvadbr dei museo de arti llería de Páris , traducido ^ adi…</t>
  </si>
  <si>
    <t>Olavarria, Manuela</t>
  </si>
  <si>
    <t>Manuela Olavarria</t>
  </si>
  <si>
    <t>…a á 7 de Abril del propio año á favor de Don Ramón Romani: después de diferentes endosos el último del primer vale lo fue en Madrid á 10 de Abril de 181 r por D. Ramón de Angulo á Doña Manuela Olavarria; el segundo por Q. Manuel López Maestre en Madrid á 27 de Mayo de 1814 á D. Alejandro Josef Amirola; el tercero por D. Mateo Gil de Sola en ídem á i.° de Abril de 1814 a D. Andrés Fernandez; el cuarto.por el mismo Sola en 20 de Ma yo del propio año á D. Ignac…</t>
  </si>
  <si>
    <t>Olave, Canuto Primóle</t>
  </si>
  <si>
    <t>Canuto Primóle Olave</t>
  </si>
  <si>
    <t>…értil y no. caro: rodean 4 esta ciudad muchos pueblos, y los buenos facultativos tienen consultas y apelaciones. Los pretendientes dirigirán sus memoriales,-expresando la edacf, 4 D. Canuto Primóle Olave, "regidor perpetuo y comisionado por* su ilustre ayuritáiniehto , 'dentro de 40 oías con tados desde está publicación. * ' .&lt;n 1 f Mémoirias dé agricultura y artes que se publican de orden de la Real junta «fe •gobierno del Comercio de Cataluña: cuadernos i.°…</t>
  </si>
  <si>
    <t>Olier, Juan Villa y</t>
  </si>
  <si>
    <t>Juan Villa y Olier</t>
  </si>
  <si>
    <t>…aya lugar. A voluntad de sus dueños, y en virtud de providencia del Sr. D. Manuel Josef Rubio, del Consejo de S. M., teniente corregidor de esta muy heroica villa , refren dada de D. Juan Villa y Olier, escribano del número, comisiones del Excmo. ayun tamiento de la misma, y de la Real Casa, se ha mandado sacar á pública subasta, por término de 15 dias, úna huerta situada en la cabecera del arroyó de Aluche, térmi no de esta villa, de cabida cinco fanegas y…</t>
  </si>
  <si>
    <t>Oliva, Ana de</t>
  </si>
  <si>
    <t>Ana de Oliva</t>
  </si>
  <si>
    <t>…nta de una casa de la calle Mayor , que está en el portal; de los roperos' de nuevo,; otorgada por D Eugenio dé’Oliva, por sí y en-óorribre de, Doña Luisa de Oliva, heréderá "de‘J Doña Ana de Oliva su ti a, en fávor de Iás memorias de D. Luis de Mesa y D. Diego Ramírez de* Mesa Castaños, ‘su£ albaceas, ante Francisco Morales, escribano del número de esta corte, en 2 de Octubre de 1665. 2.0 Privilegio concedido por el Sr. Rey D. Felipe 11 á la villa de T…</t>
  </si>
  <si>
    <t>Oliva, Joscf</t>
  </si>
  <si>
    <t>Joscf Oliva</t>
  </si>
  <si>
    <t>…-, ien, ó sepa de su paradero, tenga;la bondad de avisarlo en la casa ae Correos, ha bitación del oficial mayor del; parte;, • • Se suplica í quien tenga; nociera; del paradero dé D. Joscf Oliva , capellán que; era del regimiento infantería1 de' Murcia; en el año* de* 1808y del de caballería! dé cazadores» de Valencia en 18r2 , se' sirva comunicarla á D. Pedro Ignacio de Olañeta, corredor drl número de la ciudad’y plaza’dé S. Sebastián dé Vizcaya. De…</t>
  </si>
  <si>
    <t>Oliva, Luisa de</t>
  </si>
  <si>
    <t>Luisa de Oliva</t>
  </si>
  <si>
    <t>…sta corte. -. ^Legajo quinto, i.° Venta de una casa de la calle Mayor , que está en el portal; de los roperos' de nuevo,; otorgada por D Eugenio dé’Oliva, por sí y en-óorribre de, Doña Luisa de Oliva, heréderá "de‘J Doña Ana de Oliva su ti a, en fávor de Iás memorias de D. Luis de Mesa y D. Diego Ramírez de* Mesa Castaños, ‘su£ albaceas, ante Francisco Morales, escribano del número de esta corte, en 2 de Octubre de 1665. 2.0 Privilegio concedido por el Sr…</t>
  </si>
  <si>
    <t>Oliva, Narciso</t>
  </si>
  <si>
    <t>Narciso Oliva</t>
  </si>
  <si>
    <t>…er el tomo 10 y pagar el r 1, que se dará pron to á luz, á la librería de Quirós, calle de Atocha, y en Cádiz á la de Zaragoza; en San tiago á la de Romero; en Barcelona á casa de D. Narciso Oliva, calle de la Platería; en Zaragoza á la de D. Pedro Marin, del comercio, y en Valencia á la librería de Navarro, advirtiendo que han de abonar los portes. ' Sermones predicados é impresos en la ciudad de Valencia por el Dr. D. Manuel Fortea y Ubeda, presbíter…</t>
  </si>
  <si>
    <t>…er el tomo n y joagar el 12 ¿ que saldrá pronto, á la librería de Quirós, calle de Atocha; en Cádiz en la de Zaragoza; éíf Santiago en la de. Rey y Romero; en Barcelona en casa de D. Narciso Oliva; en Zaragoza en la de D. Pedro Marin, del comercio, y eriValéndiá én la de D. Fran cisco Navarro. . • ■ : * £1 décimo trimestre de la suscripción á la Crónica científica y literaria concluye* el último dia del presente mes. Los .suscríptores que .quieratu con…</t>
  </si>
  <si>
    <t>Olíve, Josef.Felipe de</t>
  </si>
  <si>
    <t>Josef.Felipe de Olíve</t>
  </si>
  <si>
    <t>…tirados .estos*?gr mientras que repasaban Jo escritoen caracteres taquigráficos* el misino cate-? drático, por encargo de la sociedad, lá causa tde no haber podido concurrir el Sr D. Josef.Felipe de Olíve,-socio protector -de ¡este establecimiento ,&lt;manifestó en un erudito discurso el origen y principios .de la escritura; das, mo4dificaciones que ha sufrido en las diferentes naciones que 'fian pobladoeliglobo; las circunstancias -que -han influido en ellas* y…</t>
  </si>
  <si>
    <t>Oliveros, Matías</t>
  </si>
  <si>
    <t>Matías Oliveros</t>
  </si>
  <si>
    <t>…tíjé S¿lduíémá la‘ inscripción "por -un. fado ,y nada por el otro. Mientras se esTaban-adjuaiCando los premiós a las 12 ninas mas sppresalien tes recito .una oda análoga al asunto D. Matías Oliveros, individuó de la sociedad, y sé termi nó la función, con otra oda que leyó el secretario, acompañando después has ta sus respectivas escuelas á las maestras y niñas premiadas el vice-director, • censor y secretario de la sociedad ¿ varios de sus individuos y…</t>
  </si>
  <si>
    <t>Olives, Bernardo Ignacio de</t>
  </si>
  <si>
    <t>Bernardo Ignacio de Olives</t>
  </si>
  <si>
    <t>…a en. los víctimas del Dos efe Mayo. ' . ARTICULO I&gt; K OFICIO* * . - ■ • ■ ..... - . -fr. -.. : . - - I-, Por Real resolución á consulta de k Cámara se ha servido S» M, conceder a D. Bernardo Ignacio de Olives la merced dé título“ de Castilla, con la de nominación dé conde de Torre-Sanza, para sí y sus sucesores en su casa y mayorazgos perpetuamente^ ? '</t>
  </si>
  <si>
    <t>Oller, Andrés</t>
  </si>
  <si>
    <t>Andrés Oller</t>
  </si>
  <si>
    <t>…linda con tierras y viña de Josef Sílverde, tasa do en 700 rs., el día 12 del presente mes de Junio á las 12 de la mañana en la au diencia de S. S. Por el juzgado de provincia del Sr. D. Andrés Oller, del Consejo de S. M., al calde de Casa y Corte, y escribanía de D. Pedro Josef de Ibabe, se ha suscitado expe diente sobre que se conceda licencia, y con efecto se ha concedido, para vender una casa sita en la calle de la Abada de esta muy heroica villa , se…</t>
  </si>
  <si>
    <t>…de cuatro cuartas, en 400 rs. j y una bodega en el casco de la misma villa sin tasa por estar ruinosa; que se venden para pagar á un, acreedor,, acuda al juzgado de provincia del Sr. Andrés Oller, del Consejo de s:m;* sii alcalde de Casa y Corte, por la escribanía de D. Pedro Josef de Ibabe hasta el día 10 de Setiembre próximo* que es el término prefijado, qué se admitirán siendo arreciadas. ........ ' ....... . , , l": Sé halla vpeáote una dé las dos…</t>
  </si>
  <si>
    <t>…úm 7, de la manzana 414, que comprende 4(598 pies de sitio, tasada en 285,85* reales, se ha señalado1 él dia 27 dél corriente, á las 12 en punto de su mañana, en. la audiencia del Sr. D. Andrés Oller, del Consejo de S. M., alcalde de Casa y Cor* te, que la tiene en la escribanía de provincia de D. Pedro Josef de Ibabe. A voluntad de su dueño, y en virtud de providencia del Sr. D. Manuel Josef Rubio,del Consejo de S. M., teniente corregidor de esta muy her…</t>
  </si>
  <si>
    <t>…s, distinguida con el núm. 10 de la matiz. 317, que compren de 1378 pies y un octavo, tasada en 31,586 rs. y medio, que se vende para pago &lt;^e acreedores, acuda por el juzgado del Sr. D. Andrés Oller, del Consejo de M., alcalde de Casa y Corte, y escribanía de provincia deD. Pedro Josef delbabe, den tro del término de 20 dias, contados desde la publicación de este anuncio, que se admitirán siendo arregladas. A voluntad de su dueño, y en virtud de providen…</t>
  </si>
  <si>
    <t>…rados del Real cuerpo de monteros de Cámara ; doce caballeros pages de S. M., acompaña dos de su ayo D. Miguel de Arechavala y dos directores; los alcaldes de la Real Gasa y Corte D. Andrés Oller y D. Joaquín Almazan , con los alguaci les y ministros de justicia, y 48 religiosos, t2 de cada una de las cuatro ór denes de Sto. Domingo, S. Francisco, Agustinos y Carmelitas calzados. Con este acompañamiento, y la cruz de la Real capilla, seguida de los capellanes de honor D.…</t>
  </si>
  <si>
    <t>…n esta corte, calle de S. Miguel, se ñalada con el num. 4 de la matiz.’ 298, que comprende 9498!- pies dé -sitio, .tasada en 374,565 rs. vn., acuda por el juzgado de provincia del Sr. D. Andrés Oller, del Consejo de S. M., alcalde de.Casa y Corte, y por la escribanía de D. Pedro Josef de Ibabe, que se le admitirá siempre que cubra dicha tasa á metálico; previnien do que para su remate está señalado el dií'19 de Noviembre próximo, á,las 12 en punto de su m…</t>
  </si>
  <si>
    <t>…alado para su remate el lunes 21 del corriente, á las i 2 de su mañana; en la audiencia dél mismo señor alcalde y citada escribanía de provincia. . , /En virtud de providencia del Sr. D. Andrés Oller, del -Consejo de S. M.» al calde de Casa y Corte, se cita, llama y emplaza, por término preciso de 30 dias, Conrados desde este anuncio, á todos los que se contemplen interesados en nueve vales Reales de á 600 pesos, lámina de i.° de Mayo de 1814,.señalados c…</t>
  </si>
  <si>
    <t>Olloqui, María Angela de</t>
  </si>
  <si>
    <t>María Angela de Olloqui</t>
  </si>
  <si>
    <t>…a nía del número de D. Pascual Seco, y por medio de procurador, con poder bastan te, á evacuar el traslado que lejba conferido de la demanda que en 15 del mes últi mo le ha puesto Doña María Angela de Olloqui, viuda de D. Manuel de Rotaeta, vecina de la villa de Bilbao, como heredera dé Doña Dorotea de Barandica , sobre que se declare la corresponde como tal él referido vale, y quefen su consecuencia se mande renovar en su cabeza para que asi se la entregue, pues…</t>
  </si>
  <si>
    <t>Olmo, Antonio del</t>
  </si>
  <si>
    <t>Antonio del Olmo</t>
  </si>
  <si>
    <t>…currieron también los individuos mas*respe tables del comercio dé aquella villa, y los profesores nombrados en concurso de oposición D. Alberto:Lista para la clase de matemáticas, D. Antonio del Olmo para la de lengua francesa, D. Francisco Ferraud para la de lengua inglesa, y D. Anselmo Alfonso para la de dibujo Habiendo tomado asientos, el señor prior del consulado D. Manuel María ^de Aldecoa anunció el objeto de aquel acto tan solemne como tierno por u…</t>
  </si>
  <si>
    <t>…l y político de los hom bres ¿ y por consecuencia en él servicio de Dios, del Rey y de la patria; y concluyó dando gracias'al autor de la memoria premiada. En seguida el académico D. Antonio del Olmo, encargado de trabajar un elogio en honor de S. M.dijo cuanto podía esperarse de su inteligencia, aplicación y amor al Soberano; lo cual, coincidiendo uniformemente con las ideas de todos los concurrentes, contribuyo á aumentar su entusiasmo. El secretario de…</t>
  </si>
  <si>
    <t>…examinadas en la doctrina cristiana por los curas párroCpSj convidados al efecto, &lt;5 por los diputados eclesiásticos respectivos, en leer y, escribir y y algunas en aritmética por D. Antonio del Olmo, maestro Real del barrio de:^Comadre , á quien tocó por suerte entre los premiados por la junta él año anterior; y en labores de todo género por Doña María Teresa Ber jano; y Doña Josefa López, maestras con tituló del Real y supremo Con sejo^ Castilla, nombra…</t>
  </si>
  <si>
    <t>Ondarza, Marcelo de</t>
  </si>
  <si>
    <t>Marcelo de Ondarza</t>
  </si>
  <si>
    <t>…e ella en las contadurías generales de Valores y Distribución de mi Real hacienda, y en la de la comisión del Valimiento. Dada en Palacio á 2i de Enero de 1819. = YO EL REY. =1 Yo D. Marcelo de Ondarza, Se cretario del Rey nuestro Señor, lo hice escribir por su mandado.” . En el ano de 1807 se promovieron autos ante el corregidor que á la sazón era de está muy heroica villa, á Instancia de D. Bernardo Alvarez Acero, maestro de mú sico de los teatros dé la m…</t>
  </si>
  <si>
    <t>Oneil</t>
  </si>
  <si>
    <t>…ero acompañado de un oficial de la&gt; guarnición. , r La gaceta de Candy da nuevas noticias sobre la aprehensión de algunos gefes rebeldes qué se han hecho prisioneros en Ceilan. Él teniente Oneil, que les perseguía , tuvo la fortuna dé sorprenderlos en una casilla-aislada eni el carril po,'donde ellos sé creían seguros. &gt; ( • : L ^ Se ha publicado la razón de los derechos que han pagado al Gobierno en el año de 1818 las compañías de seguridad de incen…</t>
  </si>
  <si>
    <t>Ontiveros, Benito</t>
  </si>
  <si>
    <t>Benito Ontiveros</t>
  </si>
  <si>
    <t>…, y por igual causa , se ha servido S- M. con ceder el fuero militar y uso de uniforme de segundo ayudante de farmacia de egército á D. Ramón Rodríguez, residente en el Fenol, y á D. Benito Ontiveros , residente en la villa de Velez-BIanco, reino de Murcia: el fuero mi litar y uso de uniforme de practicante de la misma facultad á D. Juan Agus tín González, residente en la villa de Poza, provincia de Burgos; á D. Josef Borsell en la ciudad de Barcelona; á…</t>
  </si>
  <si>
    <t>Orbegozó, Juan</t>
  </si>
  <si>
    <t>Juan Orbegozó</t>
  </si>
  <si>
    <t>…a; D. Domingo Estanislao déLüaces, brigadier; D. Ángel Díaz del Castillo, coronel del regimiento de Fernando vn; D. JdseFRuiz, cóifqnel, comandante del batallón ligero dé Navarra; D. Juan Orbegozó, coronel agregado del regimiento fijo de México, y mariscal de campo D. Juan Echeverri. Caballeros. ; , D. Josef Velez, capitán de milicias provinciales; D. Josef López Me-</t>
  </si>
  <si>
    <t>Ordoñez, Anselmo</t>
  </si>
  <si>
    <t>Anselmo Ordoñez</t>
  </si>
  <si>
    <t>…no¿; • -r—r Por providencia del Sr. D. Angel Fernandez de los Ríos, del Consejo de S. M.„ teniente i.° de corregidor de esta muy. heroica villa, y escribanía del numero que égerce D. Anselmo Ordoñez, dada en éste .dia á solicitud de D. Josef Antonio Ro dríguez. Siuarez y Cerreda, escribano de S. M., y agente de-negocios que ha sido de lp, ipisma., se’ cita, llama y emplaza, con. término de 30 dias , á todas las .personas que lefhayati conferido¡sufe ¡pod…</t>
  </si>
  <si>
    <t>…arregladas. ^ Por la audiencia y juzgado del Sr. D. Manuel Josef Rubio, del Consejo de S. M., teniente de corregidor de esta muy heroica villa, y escribanía del número al cargo de D. Anselmo Ordoñez¿ se subasta una casa, sita en el lugar de Carabanchel de abajo, propia de los herederos de Alfonso Bermejo, situada en la calle Empedrada, que hace medianería por la derecha con finca de Fernanda Fernandez, y por la izquierda con otra del Sr. D. Luis Fernande…</t>
  </si>
  <si>
    <t>…úmero Don Claudio Sanz. Por la audiencia del Sr. D. Manuel Josef Rubio, del Consejo de S. M., tenien te de corregidor de esta muy heroica villa y escribanía del numero al cargo de Don Anselmo Ordoñez, se-subasta una casa á la malicia , sita en esta corte en la callé de la Palma alta, núm. 28, manz.453 , y toda ella consta de 5790# pies cuadrados superficiales, tasada en 18475 rs. vn., de los qué se deben rebajar las cargas y obli gaciones que sobre sí ten…</t>
  </si>
  <si>
    <t>…ro 32, manz. 417, que tiene de4 si tio 8703 pies y v|v tasada ^en-479^84 rs. vn. Quien quisiere hacer postura á ella acu' da. ante dicho. Serian y escriban del \número al cargo de.D. Anselmo Ordoñez den-' tro del término de 30 diás,.copiados desde aquella fecha. En virtud de previdencia del Sr. D. Mati'uel Josef Rubio, del Consejo de S.kM.¿‘ oidor honorario de-ia-ÍÍ¿aLchancilIería de Valladolid , y teniente Corregidor de esta muy heroica villa, se cita ,…</t>
  </si>
  <si>
    <t>…preciso y perentorio término' de 2O'dias , contados desdé la publica-ion de este anuncio, comparezcan á deducir sus acciones por dicho ju ga do y escribanía del número á cargo de D. Anselmo Ordoñez; entendidos que pasa do sin haberlo hecho les parará el perjuicio que haya lugar. Ante el Real tribunal del consulado de comercio de Cádiz, y por la escribanía del cargo de D. Elias Izquierdo, se siguen-autos de concurso-de acreedores á D. Jo sef de Llano y S…</t>
  </si>
  <si>
    <t>…io8# tasada en ^9,684 rs. vn., que se compone de 500 pies de superficie. La persona que quisiese hacer postura á ella acudirá ante dicho señor y escribanía dél número al car go de D. Anselmo Ordoñez, dentro del término de 30 dias, contados,desde, la¡ pu blicación de este anunció, con la prevención que no se admitirá alguna que no sea por el todo de su tasa., m En virtud de providencia del Sr. D. Joaquín de Ajmazan , del Consejo de S. M., alcalde de la Re…</t>
  </si>
  <si>
    <t>…virtud' de providencia del Sr. EX. Angel Fernanderde los Ríos, del Consejo de S. Mi í teniente primero de corregidor de esta muy heroica villa, y escribanía del número al cargo de D. Anselmo Ordoñez, se venden dos casas sitas en esta cortea una en la cdle ancha de Avapies con accesorias á la de Ministriles, señalada con el ními. 3 de la manz. 42 ,,que tiene de sitio 2243 pies superficiales, y se halla tasada en 49,474 rs.; y la otra en la calle de Sta. I…</t>
  </si>
  <si>
    <t>…del enunciado día. En virtud de providencia del Sr. D. Angel Fernandez de los Ríos , del Consejo de S. M., teniente primero de corregidor d« esta muy heroica villa, refrendada de D. Anselmo Ordoñez, escribano de su número, se cita, llama y emplaza por térmi no de 15 dias, contados desde la publicación de este anuncio, á D. Francisco Xavier de Arnedo, vecino de ia villa de Yanguas, y cuyo paradero se ignora, para que den tro de él comparezca por sí ó por…</t>
  </si>
  <si>
    <t>…a de su mañana, en la audiencia del Sr. D. Angel Fernan dez de los.Ríos, del Consejo de S. M., teniente primero de corregidor detesta muy heroica villa, y escribanía del número de D. Anselmo Ordoñez. En la villa de Orellana la vieja, provincia de Extremadura, se ha establecido tíná plaza de cirujano, con preferencia de latino á romancista, y con la dotación áhual de 8$ rs. el primero y de 5© el segundó, pagados por tercios por la justicia. Es pueblo bien…</t>
  </si>
  <si>
    <t>…irtud de providencia del Sr. D. Ángel Fernandez de ios Ríos, del Consejo de S. M., teniente primero de corregidor de esta muy heroica villa, refrendada del escribano d-e su número D. Anselmo Ordoñez, se subastan por término de 30 días, contados desde la fecha de este anuncio, dos viñas sitas en el término del lugar de Fuencarral, de esta jurisdicción, de caber la una 500 cepas y la otra 300, tasadas ambas en 4600 rs. vn. Quien quisiere hacer postura ¿ la…</t>
  </si>
  <si>
    <t>Ordoñez, Luisa</t>
  </si>
  <si>
    <t>Luisa Ordoñez</t>
  </si>
  <si>
    <t>…6 de Junio de 1628 ante el escribano del número Francisco de Cartagena. 4.0 Escritura de reconocimiento de censo de noors. de principal, otor gada por Luis Rodríguez de la Vega y Doña Luisa Ordoñez su muger, en favor de Juan de Hita, vecino de esta corte , sobre unas casas sitas en esta corte y rpuerta de Guadalajara. 5.0 Escritura de censo, que corresponde á la memoria y obra pía que de jo y fundó Luis Ignacio de la Vega, escribano que fue del número d…</t>
  </si>
  <si>
    <t>Orellana, Estéban Antonio de</t>
  </si>
  <si>
    <t>Estéban Antonio de Orellana</t>
  </si>
  <si>
    <t>…upremo de la Guerra, se cita, llama y emplaza á todas y cualesquiera personas que se contemplen con derecho á los bienes quedados con motivo del fallecimiento in testado del limo. Sr. D. Estéban Antonio de Orellana, ministro que fue del propio Consejo y Cámara de Guerra , á fin de que dentro del preciso y perentorio término de 20 dias, q$l por segundo se les prefija y señala, acudan á deducirle en forma por sí ó por medio de procurador, con poder bastante, ante dicho se…</t>
  </si>
  <si>
    <t>Orgaz, Manuel</t>
  </si>
  <si>
    <t>Manuel Orgaz</t>
  </si>
  <si>
    <t>…la santa y Real hermandad vieja de,Tóle-7 do, él Excmo. Sr.' D. Pedro Dávalos, ^mariscal de campo de los Reales egércitos, y caballero gran cruz de Ja militar de S. Hermenegildo ; D. Manuel Orgaz, de la Real y distinguida de Carlos m; D; Domingo Talceto, regidor perpetuo de dicha ciudad ; D. Tomas Linacero y Fuertes, intendente honora rio de Provincia; D Atanasio Dávalos, teniente coronel, y . D. «Patricio Orííiz Pareja, capitular jurado perpetuo de l…</t>
  </si>
  <si>
    <t>Orlando, Francisco</t>
  </si>
  <si>
    <t>Francisco Orlando</t>
  </si>
  <si>
    <t>…colegio militar de Segovialos caballeros cadetes del Real cuerpp de artillería D. Juan ,de los Reyes , D., Juan Pimentel, Dv Agustín .Valeray Miaña, D Genaro Nove-lla,y Rppbiera, D. Francisco Orlando,y Fernandez, D. Aniceto Calvez, de Pedro, D.¡Juan Lacemba y Víale, Don Santiago Posadillo y Chavarri, D Rafael Sentistillano y Pescio, D. Luis Basols y Marañosa, D. Josef Pezuela y Heres, D. Juan Eiizaide y Royo, ,D. Diego Guerrero y Sedaño, D. Julián Velarde…</t>
  </si>
  <si>
    <t>Orsolino, Francisco</t>
  </si>
  <si>
    <t>Francisco Orsolino</t>
  </si>
  <si>
    <t>…in embargo de no ser grande la diferencia entre los opositores^ envista de las censuras respectivas, adjudicó los dos premios de reglamento^ de dos medallas de plata, el primero á D. Francisco Orsolino,' y el segundo á D. Nicolás Arias, declarando el accessit en iguales,términos á D. Antonio Fernandez Alvarez, todos tres naturales dé Madrid, acordando que se expre sase en la gaceta e] mérito de los demas .opositores ; é intnediatámente el Ex celentísimo Sr.…</t>
  </si>
  <si>
    <t>Ortega, Agustín de</t>
  </si>
  <si>
    <t>Agustín de Ortega</t>
  </si>
  <si>
    <t>…cual Anguita, D. Antonio Martinezj í). Antohio dé Toares, D. Antonio Castillo , D. Martin deTJbéda, D. Rafael de Almagró, D¿ Ramón de Óríiz, D. Josef Cañada, D. Sacerdote Aguilar, D. Agustín de Ortega, D. Pedro Panas y Di Josef Guerrero por'la instrucción y adelantamientos de cada uno de ¿estos alumnos en la parte que profesan ,'y énseñañká que reciben- de sus maestros el presbítero D: Joser Garcíá Llará ,''íhdlvidtíó de este Real cuerpo, y D.. Cristóbal'G…</t>
  </si>
  <si>
    <t>Ortega, Antonio Ibañez y</t>
  </si>
  <si>
    <t>Antonio Ibañez y Ortega</t>
  </si>
  <si>
    <t>…uín Muñoz y Larraiñzár ¿ D; Salvador Hidalgo y Sarria, D. Juan Labastida y Bustamante, D. Vicénfe MazeyLizknn de Cano Manuel, D. Cayetano Vivanco y Young, D Josef Avila y Miranda, Don Antonio Ibañez y Ortega, D. Gregorio Aso Travieso, D. Mariano Fernan dez Tejeiro, D Bartolomé ,Gil de Padilla, D. Francisco Ugarte y Epalza, D. Jo«ef Ibañez y Ortega, D. Joaquín Gutiérrez Peña, D. Fernando Guerra de la Vega y Callantes7, D. Josef Gómez y Quintana, D Manuel JLoigorrj…</t>
  </si>
  <si>
    <t>Ortega, Francisco</t>
  </si>
  <si>
    <t>Francisco Ortega</t>
  </si>
  <si>
    <t>…personal. . Segundo ayudante de cirugía del egército. D. Tomas Carrillo. La no bleza personal. ■ ; , .! Segundos practicantes de cirugía. ?D. Juan Rodriguezí La nobleza per sonal. D. Francisco Ortega, ídem; y D. p,áinori Rodríguez, ídem. Escuadrones de guias del general 4ue han sido aprobados 'en sus em pleos. Capitanes. Pedro Villasana y Maximiliano González. Tenientes. Fabian Figueredo y Jos.ef&lt; ^oron, , Alféreces. Ramón Sánchez, Francisco Cuesta y Carl…</t>
  </si>
  <si>
    <t>Ortega, Lorenzo</t>
  </si>
  <si>
    <t>Lorenzo Ortega</t>
  </si>
  <si>
    <t>…l regimiento i.° americano; D. Juan .-Arguelles, teniente; del mismo: D. Martin Variandaran, capitán del regimiento de dragones del Prín cipe. ; Honores del tribunal de la Rota. A D. Lorenzo Ortega, canónigo lectora! de Santiago; D» Luis’ Ramírez Thoií de Monsalve, capellán de honor de S. M.; D. Tomas González, canó nigo de Plasencia. POR LA SECRETARIA DEL DESPACHO DE LA MAYORDOMIA MAYOR. Llaves de gentileshombres de Cámara con egercicio. Al Marques de…</t>
  </si>
  <si>
    <t>Ortiz, Domingo</t>
  </si>
  <si>
    <t>Domingo Ortiz</t>
  </si>
  <si>
    <t>…or un breve discurso que pronunció el Br. D. Tadeo de- la Vega, catedrático de dicha dase, alusivo á las circunstancias. En se guida se presentaron los alumnos D. Antonio Moyano-, D. Domingo Ortiz, D. Josef Murien, D. Juan Gutiérrez, D. León Coro y D. Josef Bermudez?. á quienes por orden se abrió á la suerte cada uno de los tres tomos de la co lección de autores de D. Pablo Lozano, donde por largo espacio hicieron una libre versión á nuestro idioma con…</t>
  </si>
  <si>
    <t>Ortiz, Jcsef Lorenzo</t>
  </si>
  <si>
    <t>Jcsef Lorenzo Ortiz</t>
  </si>
  <si>
    <t>…de provincia y comisiones de la misma D. Manuel López de Rivas, se ha mandado convocar á una junta ge neral de todos los acreedores é interesados á la testamentaría del precitado D. Jcsef Lorenzo Ortiz, y señalado para ella el día 15 de Abril próximo, al anochecer, en la posada de dicho señor alcalde, que la tiene en la calle de Toledo para entrar i la de la Cava alta , núm. 6, cuarto principal. Y para que llegue á noticia de los ausen tes é ignorados se le…</t>
  </si>
  <si>
    <t>Ortiz, Josef Lorenzo</t>
  </si>
  <si>
    <t>Josef Lorenzo Ortiz</t>
  </si>
  <si>
    <t>…intendencia en Manila, que ha tenido á bien S. M. conferir al coronel D. Luis Urrejola en consideración á su distinguido mérito y buenos servicios. A pedimento de los herederos de D. Josef Lorenzo Ortiz, vecino y del comer cio que fue de esta corte, y en virtud de providencia del señor alcaide de Cara y Corte D. Martin de Gaztañaga, refrendada del escribano de provincia y comisiones de la misma D. Manuel López de Rivas, se ha mandado convocar á una junta ge…</t>
  </si>
  <si>
    <t>Orton</t>
  </si>
  <si>
    <t>…: experimentó un .friortnuy intenso : eijhJelQ eraf muy compacto ,’ ppes-;tenia de io á .12 pies de .grueso, y había mucho mas, generalizante ,. que .env íos otros años. .; , ,,E1 capitán Orton ha hecho la pesca entre Ips grafios 68 y 6,9 de latitud norte. Experimentó un frió muy penetrante. Durante iSti^mamion se aumen taron considerablemente los hielos, asi, por los que, bajaban del estrecho co mo por las. heladas. La elación era mucho rops-fri#,…</t>
  </si>
  <si>
    <t>Osa, María Rita de Gamarra y</t>
  </si>
  <si>
    <t>María Rita de Gamarra y Osa</t>
  </si>
  <si>
    <t>…n el pago de 13,034 rs. vn. pagados á Tomas de Leito y su hija en virtud de egecutoría de los Sres. del Consejo. 21. Testimonio de la Real carta egecutoría, librada á pedimento de Doña María Rita de Gamarra y Osa, viuda, vecina de Deba, en el pleito seguido con D. Manuel Erglucia y consortes en la Real chancillería de V alladolid so bre la sucesión del mayorazgo titulado de Goyaz, y otras cosas, refrendado del escribano Juan Bautista de Andonaegui. 22. Hijuela formada…</t>
  </si>
  <si>
    <t>Osaba, Basilio López de</t>
  </si>
  <si>
    <t>Basilio López de Osaba</t>
  </si>
  <si>
    <t>…á pesar del lar go espacio de tiempo que ha mediado, y de las muchas y exquisitas diligencias que se han practicado asi por el limo. Cabildo de la referida santa iglesia, como por Don Basilio López de Osaba, padre de dicho capellán, vecino de Torrijos, hayan podido adquirir noticia alguna de su paradero. Y para que la haya , si pudiere ser, ó compa rezca el referido D. Patricio, se le cita, llama y emplaza nuevamente, para que den tro del término de 6o dias, con…</t>
  </si>
  <si>
    <t>Osaba, Patricio López de</t>
  </si>
  <si>
    <t>Patricio López de Osaba</t>
  </si>
  <si>
    <t>…curia episcopal de la diócesis de Osma se está siguiendo causa en razón de que se declare vacante la capellanía del número y coro que en la santa iglesia de di cho obispado poseía D. Patricio López de Osaba, músico tenor de ella, ei cual fue sacado para el servicio de las armas en fin de Setiembre de 1808 al mando del Ex celentísimo señor Capitán general D. Gregorio de la Cuesta, sin que á pesar del lar go espacio de tiempo que ha mediado, y de las muchas y exqu…</t>
  </si>
  <si>
    <t>Oscar</t>
  </si>
  <si>
    <t>…e Setiembre. • Después de haber visto el Rey Cárlos Juan el castillo de Gripshoím, tan célebre en la historia de las revoluciones de Suecia, pasó el 6 del corriente con su hijo el príncipe Oscar á Koedesunda á reconocer el terreno señalado para la construcción de una fortaleza central en una-lengua de tierra que entra en el lago Welter. Recorrió el Rey á caballo todo el terreno, y apro bó el plan que le presentaron. La inmensa fortaleza que está proy…</t>
  </si>
  <si>
    <t>Osorio, Andrés</t>
  </si>
  <si>
    <t>Andrés Osorio</t>
  </si>
  <si>
    <t>…de Apodaca. * Veg a de Espinareda (provincia del Vierzo) 20 de Enero. Habrá como dos meses y medio que D. Miguel Ramón, cirujano titular de esta villa, fue llamado para visitar á D. Andrés Osorio, de edad de 22 años, hijo de D. Josef, vecino de Cabañas de la Dornilla, que 32 dias hacia estaba padeciendo fuertes dolores en la región epigástrica, igualmente que en la umbilical ,, vextendiéndose á la hipogástrica. Antes le habian visitado algu nos facult…</t>
  </si>
  <si>
    <t>Osorio, Antonio Adeba y</t>
  </si>
  <si>
    <t>Antonio Adeba y Osorio</t>
  </si>
  <si>
    <t>…nsejo de S. M., tenietif te corregidor de esta muy heroica villa, se cita, llama y emplaza a .todos:los acree^ dores á la testamentaría de Doña naonata González fyiuda que fue der D. Antonio Adeba y Osorio, para que en el lérminp.de 20 días qpmparegcan ante (ficho señor por la escribanía del número de E^,Í$etnardq Pht dp Antqñanq, dpqdp^é bajía ra dicada dicha testamentaría, á fin. de qup,legitimando sp$ créditos.usen ,del derecho que les asista; apercibidos ’q…</t>
  </si>
  <si>
    <t>Osorio, Francisco Campo</t>
  </si>
  <si>
    <t>Francisco Campo Osorio</t>
  </si>
  <si>
    <t>…en este tienipo, y son: del re gimiento de infantería de Zaragoza capitán D. Juan Power, tenientes D. Joa quín Araujo, D. Juan Bautista Echeverría y IX Ramón Tajonar; subtenientes D. Francisco Campo Osorio, D. Santiago Bermejo, D. Juan Benavente y Don Tomas Cepero: del primero Americano capitán D. Joaquín Sánchez Badajoz; subtenientes D. Juan Calvillo y D. Francisco Alvarez: del provincial de Fer nando, vil subteniente D Manuel Cúbelo; y de caballería dragones…</t>
  </si>
  <si>
    <t>Ossolinski</t>
  </si>
  <si>
    <t>…jo han obtenido el permiso correspondiente «para salir de Trieste durante la estación de los baños, y venir á Badén, donde Gerónimo Bónaparte les ha tomado en alquiler la casa del conde Ossolinski. ' ’ ; ■ Idem 28. / A principios del mes qué viene saldrá de aqui S. A. I. el Príncipe here dero para Trieste, adonde también pasará el Archiduque Rodulfo, arzobispo de Olmuz; de manera que dentro de pocos dias no quedará en esta corte mil* gun individuo . dé…</t>
  </si>
  <si>
    <t>Otaño, Pedro Ruíz de</t>
  </si>
  <si>
    <t>Pedro Ruíz de Otaño</t>
  </si>
  <si>
    <t>…onfirma Ib * qae manifesté: ár te justificación 'de. V.*4 &lt; E. én* el correo ^ anterior /que son muy útileslas^correríasque hacen todas las secciones , tanto, la del indicado gefe D. Pedro Ruíz de Otaño , comb la del triando deb coren el; I&gt;. Anastasio Bustamante, y la del'teñí en te coronel Eh Ramon.de Gálinsoga.i ,,Dios guarde á V. É. muchos años. Gelaya Enerb 19 de 1819 = Ex celentísimo Sr. := Antonio de Linares. = Excmo.Sr. virey conde del Venadito.” . P…</t>
  </si>
  <si>
    <t>Oto, Josef Pascual</t>
  </si>
  <si>
    <t>Josef Pascual Oto</t>
  </si>
  <si>
    <t>…s ae boca y casa D. Benito Pra do, el barón de Casa-Davalillos, D. Josef Navarro del Dosal, D. Antonio deOñativia, D. Antonio Solana, D. Manuel.de Almarza, D. Tomas Norza-f garay, D. Josef Pascual Oto , D. * Josef Sesé, D Josef Diez, D. Simón Ma teo Perez y D. Donato Arranz; los ocho individuos ya nombrados del Real cuerpo de monteros de Cámara ; doce caballeros pages de S. M., acompaña dos de su ayo D. Miguel de Arechavala y dos directores; los alcaldes d…</t>
  </si>
  <si>
    <t>OUer, Andrés</t>
  </si>
  <si>
    <t>Andrés OUer</t>
  </si>
  <si>
    <t>…ios, distinguida con el núm. i o de la manz. 317, que comprende 1378 pies y un octavo, tasada en 31586 rs. y medio, que se vende para pago de acreedores , acuda por el juzgado de) Sr. D. Andrés OUer, del Consejo de S. M., al calde de Casa y Corte , y escribanía de provincia de D. Pedro Josef de Ibabe, dentro del término de 30 dias, contados desde su publicación, que se le admitirán siendo arregladas. Se halla vacante la plaza de médico de la villa de Auñ…</t>
  </si>
  <si>
    <t>Ovando, Catalina de Sierra y</t>
  </si>
  <si>
    <t>Catalina de Sierra y Ovando</t>
  </si>
  <si>
    <t>…12 , en la audiencia del mismo* j señor..f ' 1 En'el Reaí y supremo Consejo de Castilla, por la escribanía de cámara de Don Antonio López de Salazar, se siguen autos por parte de Doña Catalina de Sierra y Ovando, guarda mayor* de Damas.de S. M., con D. Melchor de la Guardia y de mas hermanos herederos abintestato de D. Jaime de la Guardia, sobré que la de vuelvan, la dote que llevó su hija Doña' María Teresa de Ovapdo y .Sierra al matri monio que contrajo con el D. J…</t>
  </si>
  <si>
    <t>…l perjuicio'qué haya lugar cuanto se resuelva. En el Real y supremo Consejó de1 Castilla, por la escribanía de cámara dé Don Antonio López de ¿alazar, se siguen autos por parte de Doña Catalina de Sierra y Ovando, guarda mayor de^Damas*dé;S; M;,*3cóh:IX Melchor de la Guardia y de más Jjerjnanos herederos abintestato d® Jaimfi.de Jla Qu^dia,, sobre, que* la de vuelvan lá dote que llevó su hija Doña Marí^ l'erefta de Óvando y Sierra al matri monió que contrajo con el D.…</t>
  </si>
  <si>
    <t>Ovejero, Matias</t>
  </si>
  <si>
    <t>Matias Ovejero</t>
  </si>
  <si>
    <t>…egorio de Tapia, escribano de Cámara, á pedimento de D. Francisco de Quevedo y Villegas, sobre elección de oficios ae justicia, = Otro testimonio de' egecútoria y pose sión dada á D. Matias Ovejero. en hombre de D. Antonio Bustamante y Cetallos , como pon junta persona de Doña María de ,1a Portilla Cevalíosy Que— vedo, expedida en el mes de Julio de 16.24 Requisitoria pitra, que den laposes ion á D. Sancho Carrillo, poder-habiente de D. Juan Carrillo y…</t>
  </si>
  <si>
    <t>Oviedo, Juan</t>
  </si>
  <si>
    <t>Juan Oviedo</t>
  </si>
  <si>
    <t>…tes de Nuez/a-España. Oficios del coronel y comandante general D. Matías. Martin y Aguirre^ 1.® „ Exento. Sr.: Con fecha 25 del pasado me dice el comandante de Patzcuaro, teniente coronel D. Juan Oviedo, haberle avisado el de igual cla se D. Miguel Francisco Barragan, comandante de la demarcación de Ario, que una partida de las suyas había hecho prisionero al rebelde sanguinario Pedro Carvajal, titulado brigadier. ,, Este monstruo es conocido *en la provinci…</t>
  </si>
  <si>
    <t>Oviedo, Valeriano</t>
  </si>
  <si>
    <t>Valeriano Oviedo</t>
  </si>
  <si>
    <t>49*„ pa^éóé cón! •indfoidúáltdád *el oficial qüé igual clase retirado D. Lázaro Calvo, teniente de cazadores’de San Luís D. Valeriano Oviedo; y'en el !de* idémJ de urbanos infantería-de esta ciu dad D.í Joaquín Rodríguez f quien - prescindiendo de su familia é intereses se puso á la cabeza de"un&gt;-piquete de su cuerpo , que componía mi trozo de operación ¿ como 'igualmente el ayudánte de esta plaza…</t>
  </si>
  <si>
    <t>O’Haralos</t>
  </si>
  <si>
    <t>…españoles fue completa. ,, Adjunta es la lista de los oficiales (ingleses que se hallan comprendidos en el numero de los muertos, heridos, prisioneros ó extraviados. ,,Muertos: el coronel O’Haralos capitanes Márgate y Act-on. Extravia dos : los subtenientes Stewart, CTGahagain, Booth, Ryan, Dixon y Mahary. Heridos: los capitanes Quartman, ’O’Call'ághan y Gordon; los tenientes M’Be?n, Smith y Dudley, y el subteniente Brett. Prisioneros: los coroneles Raf…</t>
  </si>
  <si>
    <t>P, A. R. de</t>
  </si>
  <si>
    <t>A. R. de P</t>
  </si>
  <si>
    <t>…Nú mero 364. D. N. 20. Núm. 365. D. Pedro Zavala y Espondá 360. Núme ro 366. D. C. Al. F. 320. Núm. 367. D». J. C. 40. Núm. 368. E. C. D. R. S. 320. Núm. 369 D. Y. S. 20 Núm. 370. D. A. R. de P. 40. Núm. 371, D. R. R., del comercio, 100. Núm. 372. D. C- V. D. 200. Núm. 373. Don J. D. V. 40. Núm. 374. D. M. G. 104. Núm. 375. El Excmo Sr. emba jador de Portugal 2©. Núm. 376. D' N. 320. Núm. 377. Doña M. C. M. 200. Núm. 378. D. N. 100. Num. 379* IL A..…</t>
  </si>
  <si>
    <t>P, B.</t>
  </si>
  <si>
    <t>B. P</t>
  </si>
  <si>
    <t>…eo de la Cruz de esta,-corre 1500. Núm. 396. D. J. C. 20. Núm. 397. Do ña M. R. 8. Núm. 398. D. A. Z. 100. Núm. 399. Un señor eclesiástico 160. Núm. 400. Doña M. R. 80. Núin. 401. D. B. P. 40. Núm. 402. D. A. L. 120. Núm 403. D: B. J F. 120. Núm. 404. D. M. y R. óo. Núm. 403. Los señores cuestores del cuartel de Maravillas, por resto de la demanda de su cuartel, 896. Núm. 406. D. N. N. y Doña N. N. 300. Número 407. Don Pablo Diez t 20. Núin. 40…</t>
  </si>
  <si>
    <t>P, G. y</t>
  </si>
  <si>
    <t>G. y P</t>
  </si>
  <si>
    <t>…. D. Josef Borbujo y Rivas, inquisidor de Toledo, en una letra dirigida por el correo al deposita-rio de.la suscripción, y cobrada por este, 1®. Núm. 186. León Ponce 20. Núm. 187. D. D. G. y P. 20. Asimismo se han suscrito los señores siguientes: Núm. 21. D. Pedro Goosens , durante la epidemia ,con 200 rs. mensuales. Núm. 22. D. Josef Remigio del Toril y Torralba, por idem, con 20 idem. Núm. 23. Doña M. C. S., por idem , con 60 idem. Num. 24. D. Tad…</t>
  </si>
  <si>
    <t>P, J. Ja</t>
  </si>
  <si>
    <t>J. Ja P</t>
  </si>
  <si>
    <t>…i G.rP- tGo, Núm*,240. D. Josef Mauri oo* Núm. 341. Doña Anastasia* &gt;£$*13 zaíez 160. Núm. 243. D. M. L. S. C. 300. Núm, 243. ,D. Ambrosio ;Gar¿j¿ de -la Riestra- 40. Ñúm. 244.., ;D. J. Ja P.; 40; Núm. 24 5. D. J, F.i Q, Núm. 246. El teniente coronel D. Juan Delgado 200. :Núm.; 247. ÉLreverr rendísimo P. M. vicario general de una de las.cuatro -órdenes mendicantes^ por si y á nombre de jsu comunidad de, Madrid, 320. Nú». 248.,D. Félix Barón 80. Nú…</t>
  </si>
  <si>
    <t>P, M.</t>
  </si>
  <si>
    <t>M. P</t>
  </si>
  <si>
    <t>…F. 60. Núm. 164. D. N. N. 133. Núm. ió$. Pablo de la Cuesta 10. Núm. 166. D. Josef María de Pando 500. Núm. 167. D. K. Z. 20. Núm. 168. D. J. J, J. 332 rs. y 32 mrs. Núme ro 169. D. M. P. 20. Núm. 170. D. J. H. 120. Núm. 171. Doña M. B. iock N úm. 172. D. N. 20. Núm. 173. D. Cristóbal Sorribas 4a. Núm. 174. Doña Eusebia de N. 20. Núm. 175. Doña Isabel Simón 40. Núm. 176. D. Juan Villena 40. Núm. 177. D. S. R. 300. Núm. 178. D. F. R. 30. Núm. 1…</t>
  </si>
  <si>
    <t>P, M. A</t>
  </si>
  <si>
    <t>M. A P</t>
  </si>
  <si>
    <t>…0. Ñúm', 2^51. D- ,Ñ. Joo.jÑúm. ¿252; Doña R. V. .60, Ñúm.. •2;53,?,ipoñJ C J. 200. Núm. 254.’ Pona B. S. 40. Núm: 255. Doña M;. M. yiL.1320. Núm. 256* D, F.íPé Jt* 300. Núm. 257. Doña M. A P.. 100. Núm. 2j8. D. J. E. 60. Núm. 239. D. F» S. R. 20. Núm. 260. D. A. del M. y; ¡Puente 60. Núm. 26,1. D.P. S. de L, jo..;Núm. 262. D. A. M. 2®. Núm. 263. Doii S. S. 1®. N«m.. 264. D, ¡Sebastian Flores 200. Núm. 265. Doña .A. R. 60.. Núm. 266, Doña Rosa Marí…</t>
  </si>
  <si>
    <t>P, P.</t>
  </si>
  <si>
    <t>P. P</t>
  </si>
  <si>
    <t>…. 440. Núme ro 134. D. N. 40. Núm. 135. Doña R. B. 20. Núm. 136. D. Evaristo Vi cente Alvarez 120. Núm. 137. D. Rafael de Elorza 100. Núm. 138. Doña Ramona Berenguel 60. Núm. 139. D. P. P. 40. Núm. 140. D. N. 2®. Nú mero 141. El Exorno. Sr. D. Martin García y Loigorri 200. Núm. 142. Fé lix Fernandez, mozo sirviente, de su sueldo, 20. Núm. 143. D. V. y Doña M. 400. Núm. 144- Doña M. V. y M. 100. Núm. 14^. D. Francisco Mu ñoz, cura de Sta. Cruz d…</t>
  </si>
  <si>
    <t>Pa</t>
  </si>
  <si>
    <t>…guarde á.V. S; muchos años. Cdáyá Enero 12 dé 18ípl^^^hfiél de Cimavilla.~Sr..coronel y comandante general‘P. Antonio dé LináréS” Oficio del comandante general y mariscal dé campo D. Pa sitial Liñan. \ ,,Excmo Sr.i El coronel1 marques de Vivanca cori- fecha de anteayer me dice decde Cotasta lo siguiente: , , ; • . :l ,,M.qnuel Salvador, García y Cenobio con sus partidas» que debieron in dultarle aquí, lo han verificado el día de ayer, presen…</t>
  </si>
  <si>
    <t>Pa, Jacobo</t>
  </si>
  <si>
    <t>Jacobo Pa</t>
  </si>
  <si>
    <t>…obresalieron y obtuvieron premio los siguientes: en la primera clase D. Lorenzo Moret, niño del mas singular despejo, y que solo cuenta 16 meses de instrucción; D. Manuel Bommatí, D. Jacobo Pa checo, D. Josef Adan, D. Salvador Várela , D. Juan Mateo, D. Antonio Medina y D. Ramón Martínez. En la segunda D* Ignacio Várela , D. MañuefRodríguez Campo , D; Manuel-García, D. Pedro Ochoa, D. Francisco Herrera, D. Joaquín Meana .y D. Miguel Arrimada. En la…</t>
  </si>
  <si>
    <t>Pacanins, Ramón</t>
  </si>
  <si>
    <t>Ramón Pacanins</t>
  </si>
  <si>
    <t>…ultades que les opusieron. En los'dias 4, 8 y 9 leyeron sus disertaciones ;E). Josef Gorria, D. Joa quín García Saenz, D. Luis Tentor, D. Francisco Ramírez, D. Antonio Pi queras y D. Ramón Pacanins sobre la teoría de fracciones , fracciones deci males, números complexos , razones, proporciones y progresiones , regla de tres , aplicaciones de ella á las operaciones de comercio , descuento adentro y afuera&gt; tara, pólizas de seguros, comisiones* ya sobre v…</t>
  </si>
  <si>
    <t>Pacheco, Juan</t>
  </si>
  <si>
    <t>Juan Pacheco</t>
  </si>
  <si>
    <t>…fin de ggtug^de dicho ?ño^ sm que después haya habido noticia alguna.' Por lo que se suplica á cualqiíiéra que la túviése dé su paradero se sirva comunicarla á su padre po lítico D. Juan Pacheco, profesor de cirugía, que vive eh la calle de* los Preciados num&lt; 1 9, cuarto bajp. * ‘ En la villa de Ontígola, provincia de Toledo, distante media legua del Real si tio de Aranjuéz, y de población de 100 vecinos, se halla vacante la plaza de maestro de prim…</t>
  </si>
  <si>
    <t>Padilla, Josef</t>
  </si>
  <si>
    <t>Josef Padilla</t>
  </si>
  <si>
    <t>…iHiento con su alcalde mayor. • - : : Llegado el dia. señalado se reunieron en las casas consistoriales (previas las esquelas de convimi) el vicario^'eclesiástico, el beneficiado D. Josef Padilla con el clero , los gefes militares, el brigadier -D. Juan Casamayor, comandante de armas, D¿ Cayetano Lobaton, capitán-de fragata, ayudante de marina idel distrito , la oficialidad que residía en dicha villa destinada á ultramar, las co munidades religiosas,…</t>
  </si>
  <si>
    <t>Padilla, Manuel de Ibarra y</t>
  </si>
  <si>
    <t>Manuel de Ibarra y Padilla</t>
  </si>
  <si>
    <t>IQ$Q naridez; *“D. Francisco déPaiila Scaríatí; D.: Gerónimo Diego Sánchez, y Do» Pedro Bulliez. - ’ .j 1 Honores de gentileshombres de la Real casa. A D. Luis Pizana; D. Manuel de Ibarra y Padilla ; D. Francisco Florez, y D. Pedro Josef Lesaca. Sumilleres supernumerarios de cortina. Al Dr. D. Martin Gil, deán de la santa iglesia de Mechoacan, y Don Josef Vivas de Aragón, canónigo de la catedral de Astorga. Honores de médicos de Cantara. A D. Josef Mart…</t>
  </si>
  <si>
    <t>Paez, Francisco Verdejo</t>
  </si>
  <si>
    <t>Francisco Verdejo Paez</t>
  </si>
  <si>
    <t>…el Otero y de Ma nuel Tejera, vale, á 100 rs.'-él celemin, 20b.\Se céútffiuara.') ’ ■ Principios de geografía astronómica, física y pólíficá según los últimos tratados de paz: por D. Francisco Verdejo Paez. Esta obra, compuesta con arregló á la ex periencia de muchos años de enseñanza, empieza por uñas nociones fundamentales de geografía astronómica. En la física se incluyen conocimientos nada comunes ba jo de un aspecto y extensión que no se halla en ningún ot…</t>
  </si>
  <si>
    <t>Palanco, Julián Sanz de</t>
  </si>
  <si>
    <t>Julián Sanz de Palanco</t>
  </si>
  <si>
    <t>…ón de terciopelo bordado de lo mis mo , y una hermosa coroña de plata. Se cantó la vigilia de difuntas; "se dijo la misa y responso, y pronunció la oración fúhebré él cura párroco D. Julián Sanz de Palanco, quien hizo ver con elocuencia las virtudes de la difunta Reina | dejando á, todos consolados *pOr la idea justa qué inspiró de h ate pasado á mejor vida como prétnio de su cristiana y egérnplar conducta. Du rante la misa el regimiento infantería de .Gerona h…</t>
  </si>
  <si>
    <t>Palazon, Antonio Ximenez</t>
  </si>
  <si>
    <t>Antonio Ximenez Palazon</t>
  </si>
  <si>
    <t>…. r . ‘ . _ ; ' Madrid 2$ de Agosto* ARTICULO DE OFICIO. Por Reales resoluciones de 21 de Mayo último, á consulta del Consejo supremo de la Guerra, se ha servido S. M. conceder á D. Antonio Ximenez Palazon, vecino de la villa de Fortuna, reino de Murcia, y á D. Ignacio Ximenez, establecido en la villa de Pedroáeras, en esta provincia, el fuero mi litar y uso de uniforme de practicantes de Farmacia de egército , en premio dé los servicios que han contraído en la…</t>
  </si>
  <si>
    <t>Paleoti, Gabriel</t>
  </si>
  <si>
    <t>Gabriel Paleoti</t>
  </si>
  <si>
    <t>…lará en la librería de Tieso, calle de las Carretas, á 8 rs. en rustica, 12 en pasta, y á 11 y 16 en papel fino. Tratado del bien de la vejez, escrito en latín por el limo, y Rm». Sr. Gabriel Paleoti, cardenal de la santa iglesia romana y arzobispo de Bolonia, en el cual se demuestran los medios que proporciona esta edad privilegiada en todos tiempos para conseguir un dichoso fin, y se desvanecen las objeciones que contra ella suelen ha cerse. Se hallará…</t>
  </si>
  <si>
    <t>Pallete, Pedro Antonio</t>
  </si>
  <si>
    <t>Pedro Antonio Pallete</t>
  </si>
  <si>
    <t>…ii de sus sesiones, se presentaron los ocho alumnos mas so bresalientes de la cátedra, que fderori DJBefiito Ferrandez, D. Santiago Te jada, D. Ange{ Valero Sardi, D. Pedro Gudál, D. Pedro Antonio Pallete, D. Juan María, BiecyD. Pedro Nogues Secall, y D. Anacleto Toron y Dolz. El catedrático del establecimiento D. Agustín Alcaide dio principio al acto, manifestando la necesidad del estudió de la economía, de que tan penetrada se hallaba la Real sociedad aragon…</t>
  </si>
  <si>
    <t>Palomares, Francisco Xavier'de Santiago</t>
  </si>
  <si>
    <t>Francisco Xavier'de Santiago Palomares</t>
  </si>
  <si>
    <t>…ticario de Cajera de $. M. Véndele pn la droguería de Trasvilía, calle de Postas, á 6 rs. , Arte de escribir compuesto por D. Esteban Ximeriez, siguiendo el método y buen gusto de D. Francisco Xavier'de Santiago Palomares, adornado con 17 muestras; un tomo en folio. Se hallará en la librería dé Hurtado, calle de Jas Carretas, á 26 rs. en pasta y 18 en rústica , y también se vende el cuaderno de muestras solo á 9 rs. Relación de las exequias celebradas por los Grandes de España…</t>
  </si>
  <si>
    <t>Pan, Isidro Jacinto de</t>
  </si>
  <si>
    <t>Isidro Jacinto de Pan</t>
  </si>
  <si>
    <t>…a villa, y el R* P. Fr. Gaspar de S Ildefonso, guar dián del Real convento de S. Gil de la misma, patronos únicos por sus respectivos empleos de las pías memorias que fundó y dotó D. Isidro Jacinto de Pan, en junta que celebraron á 19 de Setiembre pró-ximo pasado acordaron se cite y líame, como se hace por este periódico,, á Benita Joaquina García Macho, natural de esta corte, Juliana García de Afóralo ,Doña Francisca Ncsti,' de la Pola de Siero,y Dona An toni…</t>
  </si>
  <si>
    <t>Pan, Josef López del</t>
  </si>
  <si>
    <t>Josef López del Pan</t>
  </si>
  <si>
    <t>…be cera del enfermo que se señalare. Por decreto de los Sres. del Consejo Real de 30 del pasado, mandado guardar y cumplir por auto del mismo día, dado por el Sr. alcalde de Corte D. Josef López del Pan, y refrendada del escribano de provincia D. Luis López de Castro, se han mandado sacar nuevamente á pública subasta por seis dias maá dos casas unidas, que tie nen comunicación, sitas en esta corte y sus calles de las Huertas y Cantarranas, distin guidas, la…</t>
  </si>
  <si>
    <t>…ar como quinta parte del sueldo que gozaba cuando cesó en aquel destino; y que se. publique en la gaceta para satisfacción del interesado. Por providencia del Sr. alcalde de corte D. Josef López del Pan, dada en i.° del corriente, y refrendada del escribano de provincia y comisiones D. Luis López de Cas- tro, se cita, llama y emplaza por tercero, ultimo y perentorio término de 15 dias, contados desde su publicación en la gaceta, á D. Francisco Roberto Baster…</t>
  </si>
  <si>
    <t>Í6 2 Porprovideticía-delSr, D. Josef López del Pan, del'Consejo de Si. M. ¡ alcalde de Casa y Corte# refrendada de D. Luis López de Castro , escribano de provincia, y para .pago de un acreedor, se ha señalado el dia 18 del corriente para el remate de unas viñas, tierras y tajón de álamos situados en la villa…</t>
  </si>
  <si>
    <t>…correspondencia con ella. En virtud de decreto de los Sres. del Consejo Real de 27 del pasado, mandado guardar y cumplir por auto del mismo dia, dado por el señor alcalde de Corte Don Josef López del Pan, y refrendado del escribano de provincia D. Luis López de Castro, se han mandado sacar nuevamente á pública subasta por tres dias mas do» casas unidas, que tienen comunicación, sitas en esta corte y sus calles de Cantara das y de las Huertas, distinguidas la…</t>
  </si>
  <si>
    <t>Pan, JoSef López del</t>
  </si>
  <si>
    <t>JoSef López del Pan</t>
  </si>
  <si>
    <t>…a en 19556 rs. con 3380 pies de sitio. Quien quisiere comprar dicha casa acuda ante S. S., que admitirá la postura y mejoras que se Hicieren siendo arregladas. Por providencia dél Sr. D. JoSef López del Pan , refrendada del escribano de provincia y comisiones D. Luis López de Castro, se ha mandado citar y emplazar por primer término de 30 dias, contados desde lá publicación de este anuncio, á to das y cualesquier personas que se crean con derecho á los bienes de…</t>
  </si>
  <si>
    <t>Pan, Josef Lopez del</t>
  </si>
  <si>
    <t>Josef Lopez del Pan</t>
  </si>
  <si>
    <t>…y les parará el perjuicios que haya lugar. o;,- ; o.’i ' Por decreto de los señores del Consejo de 4'de.este mes., y-en su cumplimiento por providencia del señor, alcalde de corte D. Josef Lopez del Pan , dada en 16 dél mismo , y refrendada del escribano de provincia y comisiones déla Real Casa y Cor te de S. M. Don Luis López de Castro, para pago ;de cierto acreedor, se, ha mandadq sacar á pública subasta por término de 30 días,;condados:desde la publicacio…</t>
  </si>
  <si>
    <t>…la audiencia del Sr. D. Manuel Josef Rubio, del Consejo de S. M., teniente corregidor de esta muy Heroica villa , y escribanía del número de D. Miguel Gonzalo. Por providencia del Sr. D. Josef López del Pan, dictada en 7 del corriente, y refrendada del escribano de provincia y comisiones déla Real Casa y Corte de S. M. D. L uis López de Castro, se ha señalado el dia 17 del corriente para el remate de un quinto de los que comprende la dehesa de Zacatena, denomina…</t>
  </si>
  <si>
    <t>Pan, Josef Salvador López del</t>
  </si>
  <si>
    <t>Josef Salvador López del Pan</t>
  </si>
  <si>
    <t>…y lugar contra los bienes del difunto E&gt;» Manuel Gil Ruesgas, en la sentencia arbitral que ha recaído, para que comparezcan á deducir el que tengan por el juzgado de provincia del Sr. D. Josef Salvador López del Pan, y escribanía de D. Luis López de Castro, donde penden los antecedentes, dentro del preciso término de 30 dias contados desde el en que salga anunciado en este periódico , lo que se hace notorio; previniéndose que pasado sin verificarlo queda sin efecto la fi…</t>
  </si>
  <si>
    <t>Pandiello, Francisco</t>
  </si>
  <si>
    <t>Francisco Pandiello</t>
  </si>
  <si>
    <t>…haber hecho toda su se mentera de maíz en numero de 12 dias de bueyes á línea recta, con ahorré considerable de semilla, y aumento en su producción: 200 rs. por vía de abL cesit á D. Francisco Pandiello , vecino de Sariego, por haberlo hecho en la propia forma y número de 7 dias de bueyes: 400 rs. al Sr. D. Josef Mendez de Vigo por haber sembrado una tierra suya propia dé 15 dias de bueyes de solo maiz cuarenteno sin mezcla alguna de otra semilla, cuya canti…</t>
  </si>
  <si>
    <t>Pando, Josef María de</t>
  </si>
  <si>
    <t>Josef María de Pando</t>
  </si>
  <si>
    <t>…F. V* 100. Núm. ióq. D. A. R. Z. 100. Núm. 161. D. J. A. A. 120. Nú mero 162. D. N. 320. Núm. 163. D. F. F. 60. Núm. 164. D. N. N. 133. Núm. ió$. Pablo de la Cuesta 10. Núm. 166. D. Josef María de Pando 500. Núm. 167. D. K. Z. 20. Núm. 168. D. J. J, J. 332 rs. y 32 mrs. Núme ro 169. D. M. P. 20. Núm. 170. D. J. H. 120. Núm. 171. Doña M. B. iock N úm. 172. D. N. 20. Núm. 173. D. Cristóbal Sorribas 4a. Núm. 174. Doña Eusebia de N. 20. Núm. 175. Doña Isabel Sim…</t>
  </si>
  <si>
    <t>Pando, Manuel de</t>
  </si>
  <si>
    <t>Manuel de Pando</t>
  </si>
  <si>
    <t>…alcalde de Casa y Corte, por ia escribanía de provin cia vacante que sirvió últimamente D. Julián Alonso y Estrada, y hoy despacha Don Santiago Manuel de AIbóniga, á instancia dé D. Manuel de Pando, síndico eh el con curso de los bienes de D.,Juan de Aguirre, se ha señalado para junta de los acree dores de ¿1 el jueves 26 del corriente, á las 1 x de su mañana’, en la sala segunda de señores alcaldes de la Real Casa y Corte de S. M. ' * A instancia de lo…</t>
  </si>
  <si>
    <t>Paño, Antonio</t>
  </si>
  <si>
    <t>Antonio Paño</t>
  </si>
  <si>
    <t>II23 mero 57.-D. Dámaso Santos 20. Núm. 58. El Excmo. Sr. marques de Santa Cruz 320. Núm. 59. D. Antonio Paño ico. Núm. óo. Doña Y- M. 20. Nú mero 61. D. Eugenio Villaseñor 200. Núm. 62. D. N. 320. Núm. 63. Don Manuel de Yela óo. Núm. 64. D. Gregorio ViiUvieja, cura de S. Josef de Madrid, por limosnas quede han dado dos feligreses suyos, 10c. Núm. 65 Miguel Fernandez…</t>
  </si>
  <si>
    <t>Pantigoso, Cristóbal</t>
  </si>
  <si>
    <t>Cristóbal Pantigoso</t>
  </si>
  <si>
    <t>…de lá publicación de este anuncio, á to das y cualesquier personas que se crean con derecho á los bienes de la testamentaría de Doña María Antonia de las Fuentes, muger que fue de D. Cristóbal Pantigoso, ve-, ciño de esta corte, para que por medio de procurador, con suficiente poder, acudan á deducir la acción que les competa , y legitimar, sus (créditos en la referida audiencia y expresada escribanía; con apercibimiento que de no verificarlo les parará el p…</t>
  </si>
  <si>
    <t>Parceló, Josef</t>
  </si>
  <si>
    <t>Josef Parceló</t>
  </si>
  <si>
    <t>…loga al intento. Madrid 10 de debí*ero. ARTICULO DE OFICIO. Por Real resolución de 25 de Enero último, á consulta del Consejo su premo de la Guerra, se ha servido S. M. conceder á D. Josef Parceló, practicante segundo de cirugía que fue en la ultima campaña, y actudmente cirujano en Viiianueva y Geitrú, principado de Cataluña , el fuero militar, y uso de uniforme de ia clase en que sirvió, que le corresponde como com prendido en la Real orden circular…</t>
  </si>
  <si>
    <t>Pardavé, Miguel</t>
  </si>
  <si>
    <t>Miguel Pardavé</t>
  </si>
  <si>
    <t>…rio por el verano. Madrid /a deMay o» ARTICULO DE OFICIO* ' Por Real resolución de 26 de Abril ultimo, á consulta del Consejo Su premo de lá Guerra, se ha servido S. M. conceder á D. Miguel Pardavé, ci rujano titular de la villa de Perales, provincia de Extremadura, el fuero mi litar y usó de uniforme dé practícame de cirugía, en premio de los servicios que ha contraído durante la ultima guerra. Por otra de 22 del mismo mes, y por igual causa , se ha se…</t>
  </si>
  <si>
    <t>Pardo, Manuel</t>
  </si>
  <si>
    <t>Manuel Pardo</t>
  </si>
  <si>
    <t>…ente engalanados, precedió en su entrada al coche.de S. M., cuyas muías fue ron desenganchadas por los mozos del pueblo, y. conducido por ellos el co rche á brazo hasta la casa de D. Manuel Pardo, en que se alojó S. M. Por la tarde se dispuso en la plaza del pueblo una función de novillos con vel fin de festejar á S. M., quien tuvo la bondad de asistir á ella, y por la noche se repitieron las danzas delante del balcón de la habitación de.S. M., hallán…</t>
  </si>
  <si>
    <t>Pardo, Ramón</t>
  </si>
  <si>
    <t>Ramón Pardo</t>
  </si>
  <si>
    <t>…ue hacen la suma de 11.386,288 pesos 7 ¿ rs. r , . " Cádiz o de Abril. f . Ha. dado fondo hoy en este puerto la fragata de:S..M. nombrada Subiría^ al mandQ .del capitán de fragata D. Ramón Pardo,¡ procedente de- ja 3 Havana, de donde salió el i 9 de Febrero! último, y cioco embarcacipnes- mercantes qué feac tiliidoib^fiOí $£ .escolta, .después de haberla dado á otras 15 hasta los puntos ¿jefeian ;Sépara.E sus derrotas. La fragata conduce i su bordo 1…</t>
  </si>
  <si>
    <t>Paredes, Joaquina</t>
  </si>
  <si>
    <t>Joaquina Paredes</t>
  </si>
  <si>
    <t>…S. M., teniente primero de corregidor de esta muy heroica villa., se cita, llama y emplaza á los acreedores á los bienes dimitidos por D. Vicente Tiller Folc de Cardona y su muger Doña Joaquina Paredes, en 13 de Noviembre de 1798, para qué en el pre ciso término de 30 dias, contados desde 27 de Mayo, comparezcan ante dicho señor y escribanía de D. Juan Antonio de Urraza por sí ó por medio de procurador ,, con poder bastante, á decir y exponer lo que tengan…</t>
  </si>
  <si>
    <t>Paredes, Juan DFIerve y</t>
  </si>
  <si>
    <t>Juan DFIerve y Paredes</t>
  </si>
  <si>
    <t>…sols y Marañosa, D. Josef Pezuela y Heres, D. Juan Eiizaide y Royo, ,D. Diego Guerrero y Sedaño, D. Julián Velarde y Santillan, D. Josef Abev11a y Conde, D. Juan Teran y Caldera , D. Juan DFIerve y Paredes, Don Francisco Navas Garro de Ulloa, D. Antonio Solís y González, D. Julián Giraldo y Molina, D. Joaquín Muñoz y Larraiñzár ¿ D; Salvador Hidalgo y Sarria, D. Juan Labastida y Bustamante, D. Vicénfe MazeyLizknn de Cano Manuel, D. Cayetano Vivanco y Young, D J…</t>
  </si>
  <si>
    <t>Pareja, Alvaro</t>
  </si>
  <si>
    <t>Alvaro Pareja</t>
  </si>
  <si>
    <t>…D. Gaspar Josef de Aguilar, abogado de dicho tribunal. Fiscal del Consejo Real de Navarra. A D. Josef Perez Rozas, corregidor de Logroño. Oidor de la Real audiencia de Sevilla. A D. Alvaro Pareja, oficial de la,, secretaría de Estado y del Despacho de Gracia y Justicia de Indias. Alcalde de i Crimen de la misma. A D. Ignacio Guseme, alcalde del Crimen de la chancillería de Granada. HONORES DE ALCALDES DEL CRIMEN DE LAS CHANCILLERIAS Y AUDIENCIAS. De l…</t>
  </si>
  <si>
    <t>Pareja, Carlos Butrón y</t>
  </si>
  <si>
    <t>Carlos Butrón y Pareja</t>
  </si>
  <si>
    <t>…á los guardias marinas D. Josef Qbregon y Villarroel, D. Quintín Sojo y Villasanta, D. Francisco Alvarez y Castillo, D. Leandro Báldesano y Aguirre, D. Beltran Riquelme y Novela, D. Carlos Butrón y Pareja y D. Francisco Miranda y Hoyos. Por providencia del Sr. 1&gt;. Manuel' Jósef Rubio, del Consejo de S. M., y te díente- corregidor de esta muy heroica villa', refrendada.dé sú escribano del húmero D. Jacinto Gaona y Loeches* se han mandado sacar á pública subasta por término de 30 dias…</t>
  </si>
  <si>
    <t>Pariente, Manuel María de Colombres y</t>
  </si>
  <si>
    <t>Manuel María de Colombres y Pariente</t>
  </si>
  <si>
    <t>…de’ S. A.R.el Su mo. Sr. Infante D. Francisco de Paula. Esta fiesta fue conce-rdida y anunciada al público’por edictos, que el ayudante militar de Marina de este puerro y distrito D. Manuel María de Colombres y Pariente, tenien te de navio, é ingeniero ordinario de Ja Real Armada, hizo fijar en los parages de costumbre. A las tres de la tarde del referido dia 24 se anunció la salida .de.dichas corporaciones de la'casa capitular propia del gremio de .ma reantes de esta villa,…</t>
  </si>
  <si>
    <t>París</t>
  </si>
  <si>
    <t>1226</t>
  </si>
  <si>
    <t>…oscuro. En vista de lo útil que puede ser este finvento para la fabricación de un nuevo género de tapices, alfombras &amp;c.’¿ y de los conocimientos que en ello acredita tener dicho Sr. París, resolvió la academia, con arreglo á sus estatutos, expedirle el título de socio artista, y que se publicase esta distinción para satisfacción del interesado, y para estí mulo de los sugetos que se dedican á los adelantamientos de la industria na cional. Madr…</t>
  </si>
  <si>
    <t>París, Joaquín</t>
  </si>
  <si>
    <t>Joaquín París</t>
  </si>
  <si>
    <t>…grado de perfección, como se deja ver en la obra presentada á la academia. También se presentó á la misma un cuadro de una vara de alto y tres palmos de ancho, que le ha regalado D. Joaquín París, obra de su invención, que tiene, tanto de novedad conio de primor y delicadeza en la egecucion; En él se representa un grupo de instrumentos matemáticos, adornado con una guarnición de exquisito gusto': todo ello está trabajado con varias especies de ropas d…</t>
  </si>
  <si>
    <t>Parny</t>
  </si>
  <si>
    <t>…na dá alto para contener ios síntomas de revolución que se han manifestado en;\ aquel país. Todos los políticos tienen fija su atención en la escuadra que está á, las ór denes del capitán Parny, y dicen lleva pliegos reservados, ¡que, no 5?Cifran doabrir sino á cierta altura. Unos, opinan que cruzará en el golfo de México! para purgar aquellas aguas de los piratas que infestan las costas: otros creen que* se dirige á las costas de Africa para poner…</t>
  </si>
  <si>
    <t>Parry</t>
  </si>
  <si>
    <t>646</t>
  </si>
  <si>
    <t>…timiento.de la Francia y de las demás potencias, y está asociado á una casa inglesa de comercio. Idem 2. Yendo á hacer sus descubrimientos en la bahía de Baffin el año pasado el 1 teniente Parry , comandante del Alejandro, y hallándose á la altura del cabo de Farewel, arrojó al mar una botella que contenia la noticia del punto en que estaba, y habrá cosa de dos meses que se encontró dicha botella en la isla de Eartragh, en la bahía de Kíllala; dé sue…</t>
  </si>
  <si>
    <t>Parte, Juan Ruiz de Apodaca.’i</t>
  </si>
  <si>
    <t>Juan Ruiz de Apodaca.’i Parte</t>
  </si>
  <si>
    <t>…de Ibarra, puntos pertenecientes á la provincia de Guanajuato. i ^ „Dios guarde á V. E. muchos anos. Guadalajara Mayo 25 de 1818. == Excmo. Sr. =Josef de la Cruz. =r Excmo. Sn vi rey D. Juan Ruiz de Apodaca.’i Parte del coronel D. Hermenegildo Revuelta.. &gt; j,Excmo. Sr.: Según dije á V. E. en mi último oficio, salí de esta el 13? del corriente , habiendo despachado la noche del 12 una partida de 100 ca ballos á lo alto de la sierra, que permaneció emboscada para ver si po…</t>
  </si>
  <si>
    <t>Pascual</t>
  </si>
  <si>
    <t>…la lista de los sujetos que han- contribuido 3 y se Han suscrito, en Madrid para socorrer los pueblos- epidemiados. * Num¡.: 2818. Doñá E.- ,S&gt;, viuda A 20. rs. Núin. 289^ El $r.;D. Pascual</t>
  </si>
  <si>
    <t>Pascual, Agustín</t>
  </si>
  <si>
    <t>Agustín Pascual</t>
  </si>
  <si>
    <t>…y afanes se dirijen constante mente al bien estar de los pueblos que fió á su cuidado la divina Providencia; Esta lectura produjo en Ja sociedad - la mas viva emoción; y su censor D. Agustín Pascual, fiel intérprete de los sentimientos que la animaban; los expresó brevemente á St A. , manifestando el voto unánime de la corporación por la impresión de este elegante discurso, y rogando á S. A. se dignase'per mitirla para honra y estímulo de esta y de todas…</t>
  </si>
  <si>
    <t>Pasquier</t>
  </si>
  <si>
    <t>…arcen en contrario. Idem 29. Sigue en cama el duque de Riehelieu, y paréce larga su enfermedad. Ha admitido el Rey la dimisión que ha hecho S. E. del ministerio, asi co mo las-del barón Pasquier, guarda-sellos ;de Mr. Lainé, ministro dei Interior? del conde Mole, ministro de Marina, y de Mi. Roy, ministro de Hacien da: en consecuencia- ha nombrado S. M. al marques Desole, teniente general y par de Francia jipara la presidencia del Consejo de los mini…</t>
  </si>
  <si>
    <t>…mbro de la Cámara de los Diputados; marques de Marbois, Par de Francia; marques de Áligre; Idem ; marques de Catelan, ídem; vizconde de, Moritmórenci-, ídem; conde Chapral; Idem ; barón Pasquier, ministro de Estadqymiembro de la. Cámaré de los Diputados; conde Dará, Par de Francia; tofideMbliieh ;idcm; conde Saint-Aulairey miembro de la Cámara de los Diputados; conde Bigot de Preameneu, miembro de la comisión de los hospicios; Mr. Roy, ministro de Es…</t>
  </si>
  <si>
    <t>Pasquíer</t>
  </si>
  <si>
    <t>…oroneles; los alféreces á los primeros tenientes, y los guardiasmarinas de primera clase á los segundos tenientes. Idem jp. El Rey se ha servido nombrar por decreto de este dia al barón Pasquíer, individuo de la Cámara de los Diputados, para el ministerio de Estado y del despacho de Negocios extrangeros; al marques Latour-Maubourg, Par de Francia, y embajador de S M. en la corte de Londres, para el ministerio de Estado y del despacho de la Guerra; á…</t>
  </si>
  <si>
    <t>Pastor, Manuel</t>
  </si>
  <si>
    <t>Manuel Pastor</t>
  </si>
  <si>
    <t>…oneles á Don Valentín Ampudiay D. Manuel Albo, de la extinguida clase de tenientes co roneles segundos; y de la de capitanes segundos, también extinguidos, á ca pitanes primeros á D. Manuel Pastor, D. Rafael de Lara y D. Josef Ortega»</t>
  </si>
  <si>
    <t>Patino, Antonio Garfias y</t>
  </si>
  <si>
    <t>Antonio Garfias y Patino</t>
  </si>
  <si>
    <t>…secretaría dé testado ; D. Josef Villar y Frontín, oficial de la secretaría dél Despacho dé Hacienda; Ddn Honorato Bouyon, brigadier; D. Pedro Leonardo Noriega, teniente coronel; D. Antonio Garfias y Patino, oidor honorario de la Real audiencia de Quitó; D. Juan Manuel de Elizalde, oidor de la Real audiencia de Manila; D. Jo sef Antonio de Andrade, coronel del regimienta de dragones provincialesde Nueva-Galicia; D. Domingo Estanislao déLüaces, brigadier; D. Ánge…</t>
  </si>
  <si>
    <t>Patri</t>
  </si>
  <si>
    <t>…Consejo de S. M., y te niente aé corregidor de esta muy heroica villa, y hora de las nueve de su mañana, para la junta de acreedores de los bienes quedados por I&gt;. Juan Antonio y D. Patri cio dé,Ribeta, se ha señalado él día 28 del corriente en la posada de dicho señor.; Y asimismo por providencia del citado Sr. D*. Manuel Josef Rubio, refrendada de su escribano dél número D. Jacinto. Gaona* y Loeches* se ha señalado^ el día 29 del Corriente p…</t>
  </si>
  <si>
    <t>Patricio</t>
  </si>
  <si>
    <t>…io López de Osaba, padre de dicho capellán, vecino de Torrijos, hayan podido adquirir noticia alguna de su paradero. Y para que la haya , si pudiere ser, ó compa rezca el referido D. Patricio, se le cita, llama y emplaza nuevamente, para que den tro del término de 6o dias, contados desde esta fechacomparezca por sí ó por apo derado ante dicho tribunal eclesiástico de Osma, donde se le oirá y administrará‘jus ticia; y se invita á cualquiera persona…</t>
  </si>
  <si>
    <t>Paula, Francisco de</t>
  </si>
  <si>
    <t>Francisco de Paula</t>
  </si>
  <si>
    <t>…librería de Orea, calle de la Montera, á lo rs. en 7_ / ■ . j , ....... ■......... * ;IiétraVó v, de'la Serma. Srá, Infanta Doña Luisa Carlota, dedicado al Sermo. jSet ñor Infante D. Francisco de Paula su esposo. Copiado del originar de miniatura qué han enviado de S. A* y conserva en su poder, y aprobado por la Real Academia de S. Fernando. Se hallará en el almacén de estampas, calle Mayor, frente del conde de Oñátc, y en la librería de Sanz , calle de las…</t>
  </si>
  <si>
    <t>…á 8 rs. cada una para facilitar uhrnayor despacho ai hospital y una mayor copiódidad ai público.' 1; '‘ : Segundo cuaderno dei: céJébrk nietodb dé forte piano dedicado al Sermo.' Señor D. Francisco de Paula. Se hallará en la'librería de Ortega , calle de las Carretas, á 17 rs. * ‘ 1 ■■ • • ~~EÑ LA IMPRENTA REAL. ! ‘</t>
  </si>
  <si>
    <t>…fiesta Indiana y el wals gracioso compuestos para piano-forte y guitarra á la feliz entrada en Madrid y ratificación del dichoso enlace de SS. AA. SS. los Srcs. Infantes de España D. Francisco de Paula y Doña Luisa Carlo.ta de Borbon. nota. En algunos egemplares de la gaceta extraordinaria del jueves último, pá gina 884, lín. tercera, dice-, en la cual se ¿4celebrado; léase se habvá. EN LA IMPRENTA REAL.</t>
  </si>
  <si>
    <t>…a y de las mismas es cuela*;. En aquel día, tan señalado y honroso paradas artes, concurrieron á las ib de Ja mañana ef Rey nuestro Señor y los Sermos. Sres. Infantes D. Car losd:-D. Francisco de Paula y Doña María Francisca de Asís, que fueron re-f cibkíds por la?'señoras académicas que componen la junta de damas para el gobiernó de estés estudios, y por los señores consiliarios y académicos de ho nor qué fluéron convidados para este acto. Luego que S. M. y SS. A A. ocu paron sus 'ásien…</t>
  </si>
  <si>
    <t>Paúlá, Francisco' de</t>
  </si>
  <si>
    <t>Francisco' de Paúlá</t>
  </si>
  <si>
    <t>…co y carrera de S. Gerónimo. Se acaban dé grabar en celebridad de la feliz entrada en Madrid, y de la ratifica ción del dichoso enlace de SS. A A. SS. los Sres. Infantes de España D. Francisco' de Paúlá y-Dóñá Luisa Cárlota dé Bbrbóií,'dos walses graciosos para piano-forteí y^guitarrá; y sé hallarán en el almacén de música y establecimiento del grabado dé' la calle del Turco, y en la librería de Ortega, calle de las Carretas; dónde se vende' igualmente la’Co…</t>
  </si>
  <si>
    <t>Pavón, Gabriel López</t>
  </si>
  <si>
    <t>Gabriel López Pavón</t>
  </si>
  <si>
    <t>…zos de entrada y salida de cada año, dos cabezas en montanera el año que la hu biere, y casa pagada. Se recibirán los memoriales hasta el 31 del corriente, y debe rán dirigirse á D. Gabriel López Pavón, secretario de su ayuntamiento. Entretenimientos del corazón devoto con el santísimo corazón de Jesús, y obse quios en actos de desagravios por las injurias hechas al Santísimo Sacramento, y no vena para la fiesta del corazón de Jesús, por el P. D. Teodoro de…</t>
  </si>
  <si>
    <t>Pavón, Josef</t>
  </si>
  <si>
    <t>Josef Pavón</t>
  </si>
  <si>
    <t>…a verificado y verifica en el día en la dispensación de varias drogas muy apreciabtes descubíertá.s. én la América meridional por los; botánicos del Perú -y Chile D= HipolitorRuiz D. Josef Pavón, anteponiendo algunos á la publica su particular utilidad * en perjuicio del género humano, y!defraudando á la Real hácienda , con lasti moso descrédito del medicamento y mengua de sus inventores; en cuyp des4 agravió se reserva D. Antonio Ruiz el derecho de…</t>
  </si>
  <si>
    <t>Payan, Elias Izquierdo y</t>
  </si>
  <si>
    <t>Elias Izquierdo y Payan</t>
  </si>
  <si>
    <t>…acuda ante dicho*señor juez f es» cribanía, donde serán admitidas, siendo arregladas. ■- - &gt; : i Por providencia del Real tribunal del consulado de Cádiz, y por Ja escribanía de¡ D. Elias Izquierdo y Payan, se manda, citar y emplazar á los que se e£timen.rCon.derecho á la masa y bienes del concurso de acreedores á la testamentaría de D. Joaquín Piaseñcia Rubio,-para que en el preciso término de ocho meses acudan á formali zarle con los documentos que les compru…</t>
  </si>
  <si>
    <t>…corriente, á las 12 , en la audiencia del mismo señor. En los autos, núm. 197 del año pasado de 1805 , pendientes ¡ante el Real tribu nal del consulado de Cádiz, y. escribanía de D. Elias Izquierdo y Payan, se ha^dicta^b do providencia mandando sitjár^ y .emplazar axtia-ntos se consideren con dqrefhQ:á lay masa'/'concurso de‘acreedores de D. MánueI.t0-regQríp Márfine/,^ paraje en el tér-... mino de un año, contado desde lá publicación,’comparezcan á formalizarl…</t>
  </si>
  <si>
    <t>Paz, Bartolomé Ortiz de</t>
  </si>
  <si>
    <t>Bartolomé Ortiz de Paz</t>
  </si>
  <si>
    <t>…acuerdo con íel Rey $. S., á quien así sé lo han manifestado eo unacarta que ¿i intento le han dirigido. . ESPAÑA. ¡' La fábrica de tejidos de lana establecida en esta ciudad per D. Bartolomé Ortiz de Paz y compañía va 'haciendo tcada día mayores progresos; y las máquinas de cardado, dé hilaza, tundido y perchado, que nuevamente se han introducido en dicho establecimiento, manejadas por diestros operarios, pro-í meten; las mas ¡fundadas esperanzas dé que muy p…</t>
  </si>
  <si>
    <t>Paz, Francisco Cándido de</t>
  </si>
  <si>
    <t>Francisco Cándido de Paz</t>
  </si>
  <si>
    <t>…a. 3000 ídem............ En Madrid. *9994 U*- 20C0 ídem...,....... En Zaragoza. .32873 1000 idem..........v En Cádiz. 1000 ídem......... En Santander. En virtud de providencia del Sr. D. Francisco Cándido de Paz, del Consejo dé. S. M., y akalde.de su Real. Casa y Corte, refrendada de D. Santiago Mar reí de Albcniga, escribano de provincia y comisiones de la misma, se han mandado sacan í } ública subasta por término de 30 dias, que empezarán á contarse de.-de ei dia 1…</t>
  </si>
  <si>
    <t>…mente con satis facción del comprador. En virtud de providencia deí Sr. D. Joaquín dé Aímázan, del Consejo de S. M.* alcalde de la Real Casa y Corte, que despacha la audiencia del Sr. D. Francisco Cándido de Paz por su indisposición, se cita, llama y emplaza á los parientes y de mas personas que se juzguen con derecho á los bienes que quedaron por el falleci miento abintestato del presbítero D; Joaquín Antonio de E'guiléta , capellán mayor que fue de la iglesia de S.…</t>
  </si>
  <si>
    <t>Paz, Luis</t>
  </si>
  <si>
    <t>Luis Paz</t>
  </si>
  <si>
    <t>…so de uniforme de practicante de la misma facultad á D. Juan Agus tín González, residente en la villa de Poza, provincia de Burgos; á D. Josef Borsell en la ciudad de Barcelona; á D. Luis Paz en Sta. Cristina de Baleige, obispado de Tuy, y á D. Josef Vázquez en la ciudad de Sevilla: de clarando al mismo tiempo le ha sido muy grata á S. M. la cesión que res pectivamente han hecho de la pensión que con arreglo á la circular de'19 de Junio de 1S15 de…</t>
  </si>
  <si>
    <t>Pazos, Francisco Juan de</t>
  </si>
  <si>
    <t>Francisco Juan de Pazos</t>
  </si>
  <si>
    <t>…ara la dignidad de chan tre de la santa iglesia catedral de Durango» en Nueva-Vizcaya, vacante por promoción de D. Vicente Simón González de Cosío á la de arcediano de la misma, á D. Francisco Juan de Pazos: para la canongía penitenciaria de la iglesia catedral de Sta. Marta á D. Francisco Timoteo de Ribera; y para la canongía doctoral de la Sta. iglesia de Comayagua al Dr. D. Manuel López de la Plata. ^ Asimismo se ha dignado nombrar para la regencia de la Real…</t>
  </si>
  <si>
    <t>Pcrete, Josef</t>
  </si>
  <si>
    <t>Josef Pcrete</t>
  </si>
  <si>
    <t>Mí corresponde a la testamentaría dé Dona Juana Díaz Vázquez ,muger y heredera que fue del Lie. D. Josef Pcrete, y se compone de 1520 cepas vivas y 12 2 marras, tasa das en el estado actual en qu$se hallan, con exclusión del fruto pendiente, en la cantidad-de 8250 rs. , iapquti^nüncia ai publico por si alguna persona quisiere ha cer postura compa*ezca iVor*&amp;ícho juzgad…</t>
  </si>
  <si>
    <t>Pe</t>
  </si>
  <si>
    <t>…ipotericiario de los dichos Estados cercá dé S. M. $ habiendo quedadó en consecuencia reconocido cómo tal ni ilustro. El Rey nuestro Señor se ha servido conceder su Rea! permiso á D. Pe dro, Montufar y Lárrea, vecino de la'ciqdád de Quito, para que pueda usar [condecoración de la ñor de Lis con que ha sido agraciado por S. M. Cris tianísima , por su constante adhesión á la augusta casa dé los Borbones. -tonEn virtud de providencia de ig del…</t>
  </si>
  <si>
    <t>…uniforVne de practicante de cirugía de egército á D. Baltasar Ibañez, cirujano residente en la villa de Torrente de Cinca; á D: Carlos Mallo, cirujano establecido en esta corte; á D. Pe dro Surra y Rull, y á D. Ramón Bucelly , residente en la ciudad de Zara goza, en premio de los servicios que han contraído en la última guerra; -de clarando al mismo tiempo S. M; le ha sido muy grata la cesión que respecti vamente han hecho de la pensión anua…</t>
  </si>
  <si>
    <t>Pe-</t>
  </si>
  <si>
    <t>…er y comandante general I). Ciríacot dé1 a = ,, Exemo. Sr.l: 'Aoóinpáfiorá V. E. origínales el parte-que nie.femitp el espitan de fragata D. Juan Bautista 'Tapete, y el que ledáel.capitán D. Pe-: dro Monzon, referentes á la sorpresa que en el rumbo de: la Estanzuela hizo* este á la gavilla del cabecilla Tinoco. ' n „Dios guarde á V. E. muchos añps. Jalapa Octubre 31 de 18rS.=:Ex celentísimo Sr.=Ciríaco de Llano. Excmo. Sí, virey, JÉ). Juan Ruiz de&gt; P…</t>
  </si>
  <si>
    <t>Pedlar</t>
  </si>
  <si>
    <t>…e los montañeses que formaban parte de la guarnición de Borgagúrt, el cual se emboscó en un terreno muy ventajoso después de una marcha jde 28 millas; pero habiéndole alcanzado el capitán Pedlar con un escuadrón del 8.° regimiento de caballería de Bengala y algu nas mas tropas auxiliares de la misma arma, les mató unos 100 hombres, hi rió mayor númefó, y los demas-huyeron. FRANCIA. Parts 23 de Junio. Una asociación particular, de que es gefe Mr. Thon…</t>
  </si>
  <si>
    <t>Pedregal, Josef Rodríguez Romero y EX Fermín</t>
  </si>
  <si>
    <t>Josef Rodríguez Romero y EX Fermín Pedregal</t>
  </si>
  <si>
    <t>…dríguez , D. Francisco Santos, D. Francisco Calderón y D. Antonio Blanco. E11 geometría elemental el dicho D. Bartolomé Martínez, D. Manuel Barbet, D. Mañuél Díaz,'O. Ramón Pepn , D. Josef Rodríguez Romero y EX Fermín Pedregal. En geometría prác tica el referido Barbet, D. Joaquín y D. Luis Ciavareza, D. Fermín Galceran, D. Florencio Pereira/D. Manuel Rodrigpez Almeida, D. Vicente Rey, Don Ramón Casal y D. Manuel María Riberos. En trigonometría plana dichos Díaz, Casal, Rodríguez A…</t>
  </si>
  <si>
    <t>Pedro</t>
  </si>
  <si>
    <t>…do á todo el gobernador militar, gene-; rajesvgefes^ oficialesde la guarnición en cuerpor* con. un concurso muy lu cido, y numeroso. El brigadier coronel del regimiento provincial D. Pedro ? Mendez Vigo facilitó una escolta numerosa de los granaderos y demás tropa dp su regimiento, que concurrió á hacer los honores oportunamente; y con cluida Ja misa dijo las.honras de S. M. en unarelocuentísima oración fúnebre: ejí^rvl). Pablo Roza , canónigo…</t>
  </si>
  <si>
    <t>…sepultura, derribaron un lienzo de pared, y le mataron disparándole a tres pasos dé distancia un canon eargado á metralla. ESPAÑA. . Madrid j de Mayo. ARTICULO DE O F I C I O. EL Sr. D. Pedro;Gómez Labrador,embajador de S.M. en la córte de Ña póles , ha participado al Sr. marques de Casa^-Irujo, primer ^Secretarles interi— nq de Estado, la plausible noticia de- haberse celebrado en 'aquella corte el matrimonio del Sétimo. Sr. Infante D. Francisco…</t>
  </si>
  <si>
    <t>…encia de Valencia , y á D., Domingo Arí^s, que lo era&gt; en comisión del mismo tribunal: para una- plaza de alcalde del Consejo de Navarra , que' re sulta vacante1 por traslación de D. Pedro de la Puerta á otra' de la audiencia de Valencia, á D. Manuel Domingo"' Morales , que lo-.era: de ia propia, audieiir</t>
  </si>
  <si>
    <t>…iento de Reales Guar* dias.de infantería 'Española y ? caballero gran;etiásr Se; la Real y distinguida orden .española dé Garlos ni; marques derl'ds Hormazas, consejero de Estado! D. Pedro iMendínueta, consejero de .Estado^ .capitán general’ de rlos. Reales egércitos, decano del Consejo supremo de la Guerra, y caballero gran cru® de la Real y distinguida orden españolé dé Cárlos m y de la de S. Herme-j negildo ; , Manuel López Araojo , consejer…</t>
  </si>
  <si>
    <t>…«aludos de ordenan za , y por la noche ha,habido iluminación general, en la cual todos los veci nos se han esmerado á porfía en manifestar ia grande satisfacción que los animaba. D. Pedro de la Puente , ministro honorario del Consejp Real, caballero de número de la Real orden de Carlos iii , corregidor político, y superintendente de la Real empresa de la ciudad de Lorca, y D. Antonio Marsilla Motezuma, intendente honorario de provincia, y secr…</t>
  </si>
  <si>
    <t>Pedro, Anselmo de</t>
  </si>
  <si>
    <t>Anselmo de Pedro</t>
  </si>
  <si>
    <t>…Lizuaín, canónigo ma gistral tie dicha santa iglesia; el 10 el Rmo. P. Fr. Joaquín Aramburo, lec tor de filosofía en el convento de PP, Mercenarios de esta ciudad, y el 20 el Dr. D. Anselmo de Pedro, canónigo doctoral de dicha iglesia, predicadores todos de la primera nota del Aragón. % Cádiz % de Marzo. Ha dado fondo hoy en esta bahía la goleta Riquelme, correo de la ar mada, al mando del teniente de navio D. Ignacio Chacón, procedente de Iferacruz y la…</t>
  </si>
  <si>
    <t>Pedroso, Ignacio Adalid Gómez de</t>
  </si>
  <si>
    <t>Ignacio Adalid Gómez de Pedroso</t>
  </si>
  <si>
    <t>…dalgo de Cisneros; D. Carlos Urrutia, capi tán general de Goatemala; el teniente general D. Josef de Bustámante, y el mariscal de campo D. Pascual Liñañ. Comendadores de la misma, D. Ignacio Adalid Gómez de Pedroso, vecino de México; D.JNicolas Pícoaga, coronel graduado de milicias; D. Antonio Gutiérrez de UÍloa, in tendente de Nueva-Galicia; D. Mariano Antonio de Novoa, coronel dé mi licias; el brigadier D. Sebastián de Ríndelan; id. D. Antonio'-María Alvareé; D. Ignac…</t>
  </si>
  <si>
    <t>Pelaez, Bartolomé López</t>
  </si>
  <si>
    <t>Bartolomé López Pelaez</t>
  </si>
  <si>
    <t>…el Sr. D. Angél Fernandez de íos Ríos, -primer teniente de Cor regidor de esta muy heroica villa, y por la escribanía denámero de D. CláüdioSanz , sé ha puesto demanda á nombre de D. Bartolomé López Pelaez, vecino de la Membrilla, éH Ja provincia' de la Mancha, sobre qué se declaren de su pertenencia'los vales Reales siguientes: Uño de 600 pesos de Enero de 1809, numero;375137í que salió en la.renavacion4éEnero 1814 con el nútn,eró 77,36; otro de 300 pesps de l…</t>
  </si>
  <si>
    <t>Pelaez, Josef Rodríguez</t>
  </si>
  <si>
    <t>Josef Rodríguez Pelaez</t>
  </si>
  <si>
    <t>…sesor de alzadas y rentas de la misma ciudad, se avisa á todos los que se consideren con derecho á la masa de bienes del concurso del conde de Reparaz, acudan por la escribanía de D. Josef Rodríguez Pelaez, en la misma ciudad de Cádiz, en el término preciso de cuatro meses, contados desde i.* de Mayo próximo pasado , á presentar los documentos justificativos de sus créditos; en inteligencia*de que pasado dicho término sin que lo verifiquen se practicarán las ac…</t>
  </si>
  <si>
    <t>Pelayo, Manuel de S.</t>
  </si>
  <si>
    <t>Manuel de S. Pelayo</t>
  </si>
  <si>
    <t>…de celebrarse el día 2 de Mayo próximo, á las nueve y media de la unianina, én las salas Capitulares del Excmo. ayuntamiento de esta muy heroica villa, á todos los acreedo res del Sr. D. Manuel de S. Pelayo, difunto , vecino que fue de essta corte. '• En virtud de providencia del Sr. D. Manuel Josef Rubio, del [Consejo de S. M., oidor honorario de la Real chancillería de Valladolid, y tenient® de corregidor de $sta muy heroica villa, y por,la escribanía del nume…</t>
  </si>
  <si>
    <t>Pelet</t>
  </si>
  <si>
    <t>…al conde de Montesquiou, al conde de.............., al conde de Pontecoulant, á nuestro primo el duque de Plasencia, al mariscal de campo marques de Pange, al consejero de Estado conde Pelet de la Lozere, al conde Portalis, consejero de Estado, y ministro plenipotenciario cerca de la Santa Sede, al conde Reilie, teniente general, al conde Ruppy, teniente general, al conde Rapp, teniente general, al conde Rampon , al teniente gene ral conde de Spa…</t>
  </si>
  <si>
    <t>Peña, Joaquín Gutiérrez</t>
  </si>
  <si>
    <t>Joaquín Gutiérrez Peña</t>
  </si>
  <si>
    <t>…Miranda, Don Antonio Ibañez y Ortega, D. Gregorio Aso Travieso, D. Mariano Fernan dez Tejeiro, D Bartolomé ,Gil de Padilla, D. Francisco Ugarte y Epalza, D. Jo«ef Ibañez y Ortega, D. Joaquín Gutiérrez Peña, D. Fernando Guerra de la Vega y Callantes7, D. Josef Gómez y Quintana, D Manuel JLoigorrj y González, y el soldado distinguido-D..Deogracias Salinas,.se ha servido,con cederles grado de subtenientes de infantería. Siendo grata al Rey nuestro Señor la memoria…</t>
  </si>
  <si>
    <t>Peña, Laureano Ramos y</t>
  </si>
  <si>
    <t>Laureano Ramos y Peña</t>
  </si>
  <si>
    <t>…r, 60. Núm. 45. Los oficiales de D. Francisco Navarro, maestro bordador, 130. Núm. 46. D. Juan de Lecanda 100. Nú mero 47. D. Ramón Ramos y Poveda 100. Núm. 48. D. N. 40. Núm. 49* D. Laureano Ramos y Peña 20. Núm. 50. D. Juan Antonio Salcedo, cura de S. Ginés de Madrid, 300. Núm. 51. D. Pedro Marcelino Blanco 20. Nú mero =52. El señor cura cíe S. Ginés, por limosnas que le han entregado algu nos feligreses, 212. Núm. 53. D. Esteban Morales 40. Núm. 54. D. Q. B…</t>
  </si>
  <si>
    <t>Peñaiosa, Henrique</t>
  </si>
  <si>
    <t>Henrique Peñaiosa</t>
  </si>
  <si>
    <t>…de se admitirán las que se Hagan siendo arregladas. Se ha señalado el día 26 de Junio en la posada del Sr. I&gt;. Angel Fernandez de los R ios para junta de acreedores al concurso de D. Henrique Peñaiosa, mandando se cite á los acreedores ausentes por medio de este anuncio. Se halla vacante la plaza de médico de la villa de Aiban, reino de Navarra: su población es de 200 familias, distante seis leguas de Pamplona y una de Sangüesa: tiene de pensión 430 robos…</t>
  </si>
  <si>
    <t>Peñalosa, Henrique</t>
  </si>
  <si>
    <t>Henrique Peñalosa</t>
  </si>
  <si>
    <t>…agiie, y en Salamanca en la de Reyes. L1 tomo 3.a ss dará á la mayor brevedad. ‘ . En la gaceta del sábado 1 2 del corriente se insertó una providencia citando í los acreedores de D. Henrique Peñalosa para ijue concurran á lá junta acordada en casa del Sr. D. Angel Fernandez de los Ríos, teniente corregidor de esta~viüa, a tas ochó de la mañana del día 26 de Junio, debiendo decir de Julio próximo t que ai el mes señalado para dicha junta. ■ ‘ " ‘ EN LA IMP…</t>
  </si>
  <si>
    <t>Penalosa, Henríque</t>
  </si>
  <si>
    <t>Henríque Penalosa</t>
  </si>
  <si>
    <t>…traciones principales y agregadas de Correes. . —■ ■ ■ ■- — —" • “ - * — ■ —— ■ ------- - - - - ---- - Por ocupación del Juzgado se ha mandado suspender ,1a junta de acreedores de D. Henríque Penalosa, acordada para el 26 del corriente, y se ha vuelto-á señalar para el" dia 12 de Agosto próximo, á las ocho de su mañana, en la posada del Señor D. Angel Fernandez de los.Rios, y que se anuncie por este periódico para que ilejgue á noticia de todos ios interes…</t>
  </si>
  <si>
    <t>Peñalver, Mañanó Blas Garoz y</t>
  </si>
  <si>
    <t>Mañanó Blas Garoz y Peñalver</t>
  </si>
  <si>
    <t>….i r A D. Josef Manuel de Arjona, ministro del Consejo supremo dé la&gt;Gudrra, y corregidor de Madrid. ' ... .j. j; , Honores de ministros del Consejo supremo de la Guerras ,1..: A'D. Mañanó Blas Garoz y Peñalver , ¡oficial segundor primero- jubilado deja-secretaría dé Estado y del Despacho Universal de la Guerra; á'D.Fraiisvistió.Roldad), intendente i de Marina -del departramenta. deli Ferrol,‘y í‘ Don Antonio González Salmón, intendente honorario de egéreitof. • r,…</t>
  </si>
  <si>
    <t>Perales, Agustín</t>
  </si>
  <si>
    <t>Agustín Perales</t>
  </si>
  <si>
    <t>…tado, y aí barón de Friesen, mi nistro de S. M. el, Rey de Saxonia en 'esta corte. " ■ Cruces de número de la misma orden. ,A D. Francisco Marín, del Consejo y Cámara de Castilla; D. Agustín Perales &gt; oficial deJá secretaría de Estado y del Despacho de Marina, y Don Josef Agustín Lobaton, capitán de navio de la Real Armada. . Supernumerarias. A D. Josef Nebot, comisario de Guerra; D. Benito Lápicdra, comisa rio ordenador honorario; al conde de Regla marq…</t>
  </si>
  <si>
    <t>Perca, Juan Antonio</t>
  </si>
  <si>
    <t>Juan Antonio Perca</t>
  </si>
  <si>
    <t>…^as...¡ j r ' En la subdelegacion general de bienes. Mostrencos , vacantes y abintestato se han denunciado todos los bienes y. efectos de que se. compone el vínculo fundado por el Sr. D. Juan Antonio Perca, iriarqdes que fue de Monteverde, vecino de Bilbao, en el concepto de no existir pariente ni descendicrite alguno de aquel. Y por providen cia de 19 de Junio del año pasado sé mandó se procediese á la fijación de los tres edictos que previene la Real instrucc…</t>
  </si>
  <si>
    <t>Percy</t>
  </si>
  <si>
    <t>…Constañtinopla bien custodiados.” PAISES-B A JOS-UNI DOS. Bruselas 5 de Diciembre. Ayer llegó á esta ciudad el duque de Wellington, que viene de París con su ayudante el teniente coronel Percy. ldem~2g. En la segunda Cámara de los Estados generales se ha discutido última mente la ley anual sobre el budget ó. presupuesto de ingresos y gastos para el año de 1819, sobre cuyo asunto han pronunciado varios oradores elocuentes discursos. El de Mr. Dotren…</t>
  </si>
  <si>
    <t>Perdón, Juan Romero</t>
  </si>
  <si>
    <t>Juan Romero Perdón</t>
  </si>
  <si>
    <t>…ntos, á D. Tomas Puyol; y para la media ración de la santa iglesia catedral de Valladolid de Mechoacan, vacante por no haber tomado posesión de ella D. Tomas Alvarez ViIlarroel, á D. Juan Romero Perdón, capellán de número de la Real armada. Él R$y se ha servido promover á alféreces de fragata de su Real armada á los guardias-marinas siguientes en las dos fechas que se expresan ...... .Coa la de 6 de Febrero de este año: D. Josef Virues y Segovía, D. An toni…</t>
  </si>
  <si>
    <t>Perea, Tomas de</t>
  </si>
  <si>
    <t>Tomas de Perea</t>
  </si>
  <si>
    <t>…ombre de las merindádes de Castilla la Vieja se presentaron &amp; S. M. la Reina nuestra Señora en la ciudad de Burgos el corregidor de las mismas D. Luis. Antonio del Campo y el Lie. D. Tomas de Perea; y el primero dijo el discurso siguiente: 1 * ■ Señora t ■ • 1' ,, Vuestro corregidor délas merindádes de Castilla' la Vieja, y el Líe. Dóh Tomas de Pereda, diputado por el ayuntamiento general de las mismas, tie nen el honor de ofrecer á V. M. por sí y en no…</t>
  </si>
  <si>
    <t>Pereira</t>
  </si>
  <si>
    <t>…ndo sido reforzados los rebeldes por la que llaman guardia de honor de Paez y mas de 800 caballos , les atacaron los pocos que habían pasado con el mayor ,denuedo; pero el bizarro coronel Pereira con jaropa dél regimiento de Castilla y del segundo de la Unipn, des pués de un fuerte tiroteo logro rechazarlos y ponerlo en huida, matándoles 20 hombres, que quedaron en la sabána con algunas carabinas y caballos ,,Un soldado enemigo que se presentó inmedia…</t>
  </si>
  <si>
    <t>…de 1819. == Josef Pereira. = Sr. comandante general D. -Francisco Tomas Morales. = Cuyo contenido traslado á V. E. para su superior conoci miento, recomendándole especialmente al coronel Pereira, que con tanta bizarría y número tan desproporcionado de fuerzas ha conseguido destruir la mayor parte de la infantería enemiga. Dios guarde á V. E. muchos años. Campamento de la Mata de Bejiico 31 de Marzo dé 1819. = Excmo. Sr. = Francisco Tomas Morales.“Exc…</t>
  </si>
  <si>
    <t>…s, dejando bien guarne cido el pueblo de Achaguas, me dirigí con todas las fuerzas al trapiche de la Gamarra-, distante seis leguas; pero ya muy inmediato á él recibí noticias del coronel Pereira que mandaba el batallón , en que me participaba haberlo ba tido, y que se retiraba por diverso camino con los heridos y prisioneros á la isla de A chaguas. Entonces retrocedí para reunir la quinta división que esta ba situada en Apurito, y recibir un convoi d…</t>
  </si>
  <si>
    <t>Pereira, Florencio</t>
  </si>
  <si>
    <t>Florencio Pereira</t>
  </si>
  <si>
    <t>…bet, D. Mañuél Díaz,'O. Ramón Pepn , D. Josef Rodríguez Romero y EX Fermín Pedregal. En geometría prác tica el referido Barbet, D. Joaquín y D. Luis Ciavareza, D. Fermín Galceran, D. Florencio Pereira/D. Manuel Rodrigpez Almeida, D. Vicente Rey, Don Ramón Casal y D. Manuel María Riberos. En trigonometría plana dichos Díaz, Casal, Rodríguez Almeida, Barbet y D. Luis Ciavareza. En trigono metría esférica los mismos Ciavareza, Casal y Rodríguez Almeida. En co…</t>
  </si>
  <si>
    <t>Pereira, Josef</t>
  </si>
  <si>
    <t>Josef Pereira</t>
  </si>
  <si>
    <t>…de 18,19. —Excmo. Sr.=Pablo Morillo. = Excmo. Sr. Secretario dé Es^adory del Despacho dé la Guerra;” ' .* r Parte que se cita en el oficio anterior. v . ’ ' i : y,-Excmo. Sr.: El coronel D. Josef Pereira, comandante »del segundo baM&gt; ¿tallón de la Union, perteneciente á la división de mi mando, me ha píeseo-i tadoCl parte que á la letra copió. A las ocho y media dé la^ mañana de esté jdia se presentaron en la sabana del trapiche de Gamarra los enemigos acatid…</t>
  </si>
  <si>
    <t>Perera</t>
  </si>
  <si>
    <t>…se. acercaban por las inmediaciones de Achaguas, fueron batidas y dispersas en algunas ocasiones, mientras con sus desertores se organizó el escuadrón del Apure á; las órdenes del comandante Perera , y un cuerpo volante que for mó D. Josef Brito Centella pasado en aquellos dias del campo enemigo. Asi permaneció el egército dueño de todos los recursos de aquel, acogiendo á las familias que se presentaban, y causándole mucha deserción, hasta que el 27 de…</t>
  </si>
  <si>
    <t>Perera, Jacinto</t>
  </si>
  <si>
    <t>Jacinto Perera</t>
  </si>
  <si>
    <t>…divis, 600 caballos ru cios, y hasta el completo de 15 00 de todos colores : me señaló uno de los prisioneros que podía.conducir mi tropa, y enviden efecto al teniente coro-i fiel D. Jacinto Perera con too carabineros, los cuales tuvieron un tiroteo con el enemigo, y le obligaron á retirarse; pero no se encontró caballo alguno, porque los dispersos de la acción anterior dieron aviso, y se los llevaron al Manteca!. Nuestra pérdida en aquella jornada cons…</t>
  </si>
  <si>
    <t>Peres, Josef</t>
  </si>
  <si>
    <t>Josef Peres</t>
  </si>
  <si>
    <t>…Barragan, comandante del distrito de Ario, me da parte de que habiéndose acercado á aquel punto ._una gavilla de rebeldes , y robado el ganado. de sus vecinos, dispuso el capital* D. Josef Peres*, del regimiento, de. Nueva- España., que le mandaba aec iden^ talmente, que el teniente del. mismpcuerpo D. Rafael -Silva y, e;P alfc/ez. de fieles D. Pablo Jaso con 2 5. infantes ¡y ,20 caballos Jos persiguiesen j ‘-y (fia efec-ito: lograrpn represar 80 cab…</t>
  </si>
  <si>
    <t>Pérete, Josef</t>
  </si>
  <si>
    <t>Josef Pérete</t>
  </si>
  <si>
    <t>…iña, que en el término del lugar de Fuencarral, y'sitio que nombran la Fuente'Mdrena, corresponde á la testamentaría de Doña Jua na Díaz Vázquez, muger y heredera que fue del Lie. D. Josef Pérete, por término de 15 días, y señalado para su remate el dia 9 del presente, a las 12 en punto de su mañana, en Id audiencia de SiS.; y se compone de 1520 cepas vivas y 121 mar ras, tasadas, con exclusión del fruto pendiente» en la cantidad de 8250 rs. metáli co…</t>
  </si>
  <si>
    <t>Perete, Josef</t>
  </si>
  <si>
    <t>Josef Perete</t>
  </si>
  <si>
    <t>…a una viña sita en el lugar de Fuencarral, y tér mino que nominan la Fuente Morena, perteneciente á la testamentaría de Doña Jua na Díaz Vázquez, viuda y heredera que fue del Lie, D. Josef Perete, compuesta de 1656 cepas, con inclusión de las marras, de vidueño tinto, pardillo y jaén, tasada en 8280 rs. vn. Las personas que quieran hacer postura acudan á la referida escribanía; y se señala para su remate el sábado 4 del próximo mes de Diciembre en la…</t>
  </si>
  <si>
    <t>Perez, Andrés</t>
  </si>
  <si>
    <t>Andrés Perez</t>
  </si>
  <si>
    <t>…nada que desear: al capitán de realistas D. Agustín de Hotpasitas, á D. Dámaso CarvajaL,. al bizarro alférez de la compañía de Tepegi del Rio D. Eugenio Torres, al de igual clase D. Andrés Perez , al valiente sargento de la compañía de realistas de Chapa de Mota Josef Angel Guzman, y á los de igual clase Josef Osornio, Mariano del Rio y Manuel Co lín; á los cabos lgnacio Peña, Ignacio Lugo y Josef María Martínez, al ve cino de la Nojcia D. Vicente Fe…</t>
  </si>
  <si>
    <t>Perez, Antonio Xavier</t>
  </si>
  <si>
    <t>Antonio Xavier Perez</t>
  </si>
  <si>
    <t>…r inspector general de Ja arma D, Diego Ballesteros. Se hallará en las librerías de Matute y Rodríguez, calle de las Carretas. Discurso sobre la honra y deshonra legal, por el Dr. D. Antonio Xavier Perez, impreso en 1786. Véndese á 6 rs. en .papel en el almacén de la imprenta Real. EN LA IMPRENTA REAL.</t>
  </si>
  <si>
    <t>Perez, Benito</t>
  </si>
  <si>
    <t>Benito Perez</t>
  </si>
  <si>
    <t>689</t>
  </si>
  <si>
    <t>…....................... 470 Turégano............... 1452 Castrilló.............................. 171 Pedraza................. 1068 ahítes wwon te. •••••., • 292 (Se continuara.) r D. Benito Perez, profesor de música y vecino de la ciudad de Cádiz, di rigió á nombre dé su hijo D. Sixto, por medio de la Real sociedad éconómi-^ ca de amigos deí país de dicha ciudad, á la de esta corte una exposición pa ra que si este cuerpo patriótico la encontraba digna…</t>
  </si>
  <si>
    <t>Perez, Francisco</t>
  </si>
  <si>
    <t>Francisco Perez</t>
  </si>
  <si>
    <t>…Manuel Su rio, de Paloblanco, muertos por su bizarría en el campo- del honor , el primero en: la toma del agua , y el segundo en el fuerte de Santiago.. ,, El cura de Ixhuatlan Br D. Francisco Perez, que en clase’de capelíanc me acompaña, á tiempo de acudir á auxiliar al primer capitán salió herido de la cabeza,, é igualmente tuve 15 heridos leves, dos muertos, á bala y seis á machete. ,, Excede á* toda ponderación el inmenso trabajo que de día y de noch…</t>
  </si>
  <si>
    <t>…Núm.' 2-67* D. Manuel Trasvina 2®. Núm. 208. Doña N. N. 4.0. Núm, 209K D. =A. A. de G. 200. Núm. 210. D.T. y maestro de obra prima, siis oficia les-y ribeteadora.} 140. Núm. 211. D. Francisco Perez 160. Núm.* 212. D. N. 60. Núm. 113. Don 7N. 20* Núm. 214. &gt;El señor cura, de S. Ginés de Madrid , por iimosná reci-</t>
  </si>
  <si>
    <t>Perez, Francisco Montes y</t>
  </si>
  <si>
    <t>Francisco Montes y Perez</t>
  </si>
  <si>
    <t>…á la circular de 19 de Ju nio de 18-15 debían disfrutar. .. &gt;— . ' "1. . mi. i». '&lt; —i» &gt;11 11 a El 12 de Noviembre de 1817 falleció en esta corte á los 63 años de &lt;edad ^1 Excmo. Sr. D. Francisco Montes y Perez, teniente general de la Real armada , gentilhombre de S. M. con entrada, gran cruz de la Real y militar orden de $. Hermenegildo, y caballero profeso en la de Santiago. Principió su carrera de guardia marina en 2 de Enero de 1768, y embarcado en los navios Te…</t>
  </si>
  <si>
    <t>Perez, Josef Lucio</t>
  </si>
  <si>
    <t>Josef Lucio Perez</t>
  </si>
  <si>
    <t>…M, en conferir, por Real orden de 1.8 de Abril último * las cinco primeras cátedras de agricultura en estos términos.: la de Toledo á D. Francisco Martínez Robles, la de SevijHa á D. Josef Lucio Perez, la de Burgos á D. Pascual Asensio, la de Léon á D. Josef Alonso Quintanilia,y la de Badajoz á!Df Julián de Luna* Y poste^riorniente en Real orden de i.° de Mayo próximo pasado se djgnó Sf ijl. CÓnL ceder en iguales términos ía cátedra de Valencia á D. Franci…</t>
  </si>
  <si>
    <t>Perez, Josff Joaquín</t>
  </si>
  <si>
    <t>Josff Joaquín Perez</t>
  </si>
  <si>
    <t>…Ignacio Moreno, tesorero . dé egército honorario , y director presidente de la Real compañía del Guadal%quivir; D. Pedro Joaquín de Murcia, ma^strante de Sevilla, vecino de Ecija; D. Josff Joaquín Perez, ■ canónigo doctoral de la colegial de S. Ildefonso; j,X)..Florencio Alonso Villasante, secretario de la dirección del Crédito pú blico ; el marques del Real Socorro; D. Josef García Carrasco., vecino de Cáceres; el conde de Vallehermoso ,\aícalde del crimen…</t>
  </si>
  <si>
    <t>Perez, Juana</t>
  </si>
  <si>
    <t>Juana Perez</t>
  </si>
  <si>
    <t>…20. Asimismo se han suscrito para el mismo caritativo objeto los señores si guientes: ! ; Número i.° D. Torcuato Torio de la Riva, durante la epidemia, por 40 rs. al mes-Núm. 2.°. Doña Juana Perez, por idem, por 10 rs. semanales. Núm. 3.0 D. Vicente García, por un mes, con 20 rs. semanales. Núm. 4.® D. M. B., durante la epidemia, con 3 rs. cada dia. Núm. 5.0 D. Gregorio J011sansoro y Serralta y su hijo D. Julián, ayudas de Cámara de S. M., mien tras du…</t>
  </si>
  <si>
    <t>Perez, Julián</t>
  </si>
  <si>
    <t>Julián Perez</t>
  </si>
  <si>
    <t>…Samaniego; en Villanueva de la Serena en la de D. Bernardo Bd^tip’enGranada en 'la del Dr. D. Manuel Lope? Mateos; en Málaga en la del T&gt;r. D., Jaime Alibau;.en Vigo en la del Dr: D. Julián Perez; en Santiago én la de D. Pedro Romero; enójense en la de D. Joaquin Vallverdu; en Betanzos en la, del Dr. D. Rosendo Fariñas;,-en ALcarjtjz en La de D. Ramon Villalba; en Caíatayud en ia de D. Lorenzo Gano Beirran; en Un Castillo en la de D. Paulino Gil; en J…</t>
  </si>
  <si>
    <t>Perez, Manuel</t>
  </si>
  <si>
    <t>Manuel Perez</t>
  </si>
  <si>
    <t>…a. = Autos seguidos por Ja villa de Oreja contra la de Ocaña, que tenían tierras en su término, sobre que estos pagasen la mitad de la alcabala.= Autos hechos á instancia,del Lie. D. Manuel Perez , contra los mayordomos de. los Propios, sobre qüe cada uno le paguen 5 © rs. = Escritura de obligación otorgada en 7 de Junio de 1685 ante Bernardo Novella, escribano deí número de Ocaña, por Alfonso Mon tero, Juan García y Gabriel Fernandez, vecinos de Orej…</t>
  </si>
  <si>
    <t>Perez, Miguel</t>
  </si>
  <si>
    <t>Miguel Perez</t>
  </si>
  <si>
    <t>…de las otras provincias del reino continúa favorablemente. Continúa la lista de los contribuyentes y suscriptores para socorrer los pue blos afligidos con la epidemia. Número 38. D. Miguel Perez 2® rs. Núm. 39. Doña N. 100. Nóm. 40. D. Santiago Conde 60. Núm. 41. D. Manuel Ximenez 20. Núm. 42. Doña Manuela Alvarez 20. Núm. 43. D. Manuel Alemp.te 320. Núm. 44. Don Francisco Navarro, bordador, 60. Núm. 45. Los oficiales de D. Francisco Navarro, maestro…</t>
  </si>
  <si>
    <t>Perez, Pascual</t>
  </si>
  <si>
    <t>Pascual Perez</t>
  </si>
  <si>
    <t>…enos de causar se mejante desgracia el mas profundo sentimiento en los corazones de sus habi tantes, y para demostrarlo en los términos mas propios y análogos se deter minó por el coronel D. Pascual Perez de los Covos, y por el capitán D. Ja«obo María Espinosa, retirados en dicha villa, y caballeros hacendados en la misma, celebrar á su costa unas solemnes exequias en el convento de nuestro -padre S. Francisco, lo que se efectuó en el dia 12 del corriente mes…</t>
  </si>
  <si>
    <t>Perore, María</t>
  </si>
  <si>
    <t>María Perore</t>
  </si>
  <si>
    <t>…rio de la Trinidad: Doña"Ménica Da 1 vega, discípula y pasanta dé la Real escuela del barrio de S. Luis: Doña Juana del Cano\ discípula de ^ Real escuela del barrio dé S. Pascual: Doña María Perore, discípula de la RééL escuela del barrio de Trinitarias f Doña Vieeríta' Ladrón de Guevara,</t>
  </si>
  <si>
    <t>Perú, Garlos.del</t>
  </si>
  <si>
    <t>Garlos.del Perú</t>
  </si>
  <si>
    <t>.-13o2 fante D. Garlos.del Perú, se de'íatienda , parados ascensos* de sil carrera ó $á colocación eii otro destinó ” De* Real orden: lo digo todo á.\r. E para su in¿ .teíigencia, gobierno y cumplimiento en la: parte qué le toca. Madrid 16 de -Diciembre de 1819. . , El Rey nuestro Señor, po…</t>
  </si>
  <si>
    <t>Pespuig, Antonio Dameto y</t>
  </si>
  <si>
    <t>Antonio Dameto y Pespuig</t>
  </si>
  <si>
    <t>…dicha Real audiencia á I). Pedro Pp/ro Qidoncho. ; V!( ' Igualmente se ha servido nombrar para la plaza dé alguacil mayor dé la Real audiencia ,de Mallorca, vacante por muerte de D. Antonio Dameto y Pespuig, á D. Francisco Ásprer y de Canal. S. M., á consulta deh cotose jo Real, .se Jia ¿servido mahdar que el mercado que celebra el consejo general;del valle de Aran-yen el principado de Cataluña, los jueves de cada semana, se verifique en los domingos* Habiéndose…</t>
  </si>
  <si>
    <t>Pestaña, Lucio Alvarez</t>
  </si>
  <si>
    <t>Lucio Alvarez Pestaña</t>
  </si>
  <si>
    <t>…-cumplimiento 4 estos últimos y sagrados obsequios el :Ilmp. cabildo y vayuntamiento de Orense, desempeñando por su parte los diputados regidores ^marques de Villaverde de Limia y D. Lucio Alvarez Pestaña el delicado encargo que se' había puesto á su cuidado con entera satisfacción de IaíM. .N. y L. ciudad ■ * ■ ■y del público. • • ’ s:j ' " •' ' ■ ¡ ; Puerto de Sta. Marta 24 de Mayo. La academia de primera educación establecida en esta ciudád, bajo la di recc…</t>
  </si>
  <si>
    <t>Petronila</t>
  </si>
  <si>
    <t>t.e por la escribanía-' citada dentro del término de jo días, contados desde el de la publicación. D. Cayetano, D. Andrés,,Doña Ines, Doña Petronila y Doña Manuela Benito solicitan se íes declare^ herederos abintestato de su hermano D. Félix, vecino que fue de esta muy heroica villa; y por providencia del Sr. D. Angel Fernandez de los Ríos, del Consejo de S. M., teniente primero de corregidor de ella, refrendada deí escribano…</t>
  </si>
  <si>
    <t>Pezueía, Joaquín de Ja</t>
  </si>
  <si>
    <t>Joaquín de Ja Pezueía</t>
  </si>
  <si>
    <t>^ _ 921 ■ ' ÉSPANA. i: •* , ■ Lima, i o de Febrero, El ExcmcL 5r. virey D. Joaquín de Ja Pezueía ha recibido los partes si guientes: cu "--ii-.-q .■ l:' *v. &gt;r- .. i.° ,,Excmo. Sr.: Los enemigos fueron reuniendo en eí Parral sus fuerzas de á caballo y-dnFadtería en númerode 2$ $ y el día 12 del próximo pasado atacaron x GKiílanj entrando sirl oposición •…</t>
  </si>
  <si>
    <t>Pi, Antonio</t>
  </si>
  <si>
    <t>Antonio Pi</t>
  </si>
  <si>
    <t>…, y desatáronlas: dificultades que les opusieron. En los'dias 4, 8 y 9 leyeron sus disertaciones ;E). Josef Gorria, D. Joa quín García Saenz, D. Luis Tentor, D. Francisco Ramírez, D. Antonio Pi queras y D. Ramón Pacanins sobre la teoría de fracciones , fracciones deci males, números complexos , razones, proporciones y progresiones , regla de tres , aplicaciones de ella á las operaciones de comercio , descuento adentro y afuera&gt; tara, pólizas de segu…</t>
  </si>
  <si>
    <t>Pi, Manuel de</t>
  </si>
  <si>
    <t>Manuel de Pi</t>
  </si>
  <si>
    <t>…íquidos haberes desde i.° de Mayo próximo en adelante. En la noche del 7 de Febrero próximo pasado falleció en la ciudad de Sevilla á los 90 años menos dos meses de edad el Excmo, Sr. D. Manuel de Pi neda de la Torre, Venegas de Córdoba y Villasis, inarques de Campo Santo, teniente general de los Reales egércitos, y caballero gran cruz de la Real y distinguida orden militar de S. Hermenegildo. Principió su carrera en i.° de Enero de 1745 entrando de cadet…</t>
  </si>
  <si>
    <t>Picado, Antonio</t>
  </si>
  <si>
    <t>Antonio Picado</t>
  </si>
  <si>
    <t>…gío-americana á que no se deje alucinar por las falaces promesas y descripciones de semejantes aventureros. JSeira del Rey (obispado de Lugo ) 2g de Octubre, Habiendo sido llamado D. Antonio Picado, profesor de cirugía, vecino del lugar de S. Martin, de esta jurisdicción, para asistir á Teresa Rodríguez, muger de Pedro Fernandez, vecino del lugar deBjlacha, parroquia de Sam Juan de Piedra Fita én el coto dé Campo redondo, pasó á reconocería y examinarla…</t>
  </si>
  <si>
    <t>Picardo, Antonio</t>
  </si>
  <si>
    <t>Antonio Picardo</t>
  </si>
  <si>
    <t>…administrador dé Correos dé * Valencia; D. Gregorio Joa quín Piquer, canónigo de Valencia, yrector desaquella* universidad; marques de Ca&lt;a-Calderon &gt; alcalde dei Crimen en Lima; D. Antonio Picardo, Vecino de Cádiz ; D. Baltasar de Represé, comisario “de .guerra; D. Josef María Cón¿ de Salazar, regidor de Córdoba; D. Joaquín Gregorio deGoycoa, vecino de S. Sebastian; D. Josef Campo y'Soler, cónsul general y comisario en SierraLeona ; D. Felipe Patdo y G…</t>
  </si>
  <si>
    <t>Picazo, Pedro</t>
  </si>
  <si>
    <t>Pedro Picazo</t>
  </si>
  <si>
    <t>…idas de dos feligresas, 30. Núm. 606. D. J. R. 24. Núm. 607, El señor teniente mayor de la parroquia de S. Luis.de,Madrid, por limosnas recibidas de sus feligreses, 160. Núm. 608. D. Pedro Picazo 20. Núm. 609. El limo. Sr. deán y cabildo de la santa iglesia catedral de Calahorra 1500. Nú mero 610. Los cuestores del cuartel de Avapies, por la demanda semanal, 2300. Núm. 611. El Sr. D. Juan Antonio Iñigo, inquisidor de la Suprema, 1100. Núm. 612. D. N.…</t>
  </si>
  <si>
    <t>Pichó, Joaquín</t>
  </si>
  <si>
    <t>Joaquín Pichó</t>
  </si>
  <si>
    <t>D. Josef Euíalío Ziozí, á D. Miguel María de Yarza, y para ía media ra ción de la iglesia metropolitana de Sta. Fe, vacante por fallecimiento de Don Juan Antonio Riaño, á D. Joaquín Pichó. A virtud de providencia del Sr. D. Manuel Josef Rubio, del Consejo de S. M., teniente corregidor de esta muy heroica villa, se vende , á pedimento de sus dueños, una casa en esta corte, sita en la calle del Rincón de S. Cristóbal, núm. 16, manz. 184; tiene d…</t>
  </si>
  <si>
    <t>Piles, Ventura de</t>
  </si>
  <si>
    <t>Ventura de Piles</t>
  </si>
  <si>
    <t>…ue no alegue ignorancia. En el primer regimiento de la guardia Real de infantería Española se ha servido S. M. conceder, con fecha dél 2 5 de Diciembre, grado de coronel al primer teniente D. Ventura de Piles, en atención á sus méritos y servicios.' En el juzgado de bienes mostrencos vacantes y abintestatos del alcalde mayor de la villa de Velez-Blanco se venden en publica subasta las fincas correspondientes al mayorazgo conocido por de Legazpi, declaradas vacante…</t>
  </si>
  <si>
    <t>Pimentel, Juan Alonso</t>
  </si>
  <si>
    <t>Juan Alonso Pimentel</t>
  </si>
  <si>
    <t>…Corral por 10 mrs. cada carga y 40 i&amp;8$ípGar, cada carro que se hayía dado por Atense Ruta. y &gt; v ' ? if. IMa cscritura dé cense de D. Francisco de la Presa y sus sucesores contra D. Juan Alonso Pimentel, conde de Benavente y sus sucesores en su 1 fpj * ante elestado, impuesto con ¿acuitad Real, su fecha 1de Marzo de escribano del número de esta corte Pairo de Arce. ■</t>
  </si>
  <si>
    <t>Pinel</t>
  </si>
  <si>
    <t>…nes cerca de los ,Ministros que se han de reunir: en aquella ‘ ciudad. . A propuesta del duque de Angulema sé ha dignado el Rey qondecora? con d cordon de la orden de S. Miguel al doctor Pinel, que tan justos dere chos tiene adquiridos á ja gratitud del género humano por. tantos servicios 1a Ua oii lit nriftan/%iA vv ont*A/»iAn /4a f/&gt;« rlamantdi) T7n f pPpsa. , . , (i.f !( i,. O. * , : El gran Duque de JHesse-parmsta^t ha dferogado.pn decreto de 1…</t>
  </si>
  <si>
    <t>Pino, Francisco Fernandez del</t>
  </si>
  <si>
    <t>Francisco Fernandez del Pino</t>
  </si>
  <si>
    <t>…des de casa y corte.' Honores del mismo Consejo. A D. Alejandro Dolarea, ministro del Consejo de las Ordenes; D. Mi guel Antonio Bianes, regente de la chancillaría de Valladolid ; D. Francisco Fernandez del Pino, regente de Ja audiencia de Extremadura. Honores del Consejo de las Ordenes. A D. Agustín Fivaller, deán y canónigo de la santa iglesia" catedral de Barcelona, y sumiller de Cortina. PLAZAS EFECTIVAS DE LOS TRIBUNALES DEL REltfÓ. Oidores de la Real chanciller…</t>
  </si>
  <si>
    <t>Pinon</t>
  </si>
  <si>
    <t>…grados y á 33 al sol en el termómetro de Reaumur, y mueren sofocados ios perros y las palomas. * - ■’ ’ 7 y ' ' Idem 22. S. M. el Rey de Baviera ba dirigido la siguiente carta al vizconde Pinon, presidente de la comisión encargada de erigir un monumento para perpetuar la memoria de Mr. de Malesherbés. „ He recibido la carta eri que me manifestáis vuestros deseos de ¡que con* tribuya por mi parte á la erección dei monumento dedicado á la memoria del…</t>
  </si>
  <si>
    <t>Pinto, Domingo Lardin y</t>
  </si>
  <si>
    <t>Domingo Lardin y Pinto</t>
  </si>
  <si>
    <t>§2 muralla de la mar. Fue grande la Impresión que toda esta pompa fúnebre cau só en el ánimo de los concurrentes, á lo que coritribíiyó laeUloc^ieoch del ora dor D. Domingo Lardin y Pinto, cura párroco del lugar dele Toao-estrecho, en esta diócesis. En virtud de providencia del Sr. D. Manuel Josef Rubio, del [Consejo de S. M.,' teniente corregidor de esta muy heroica villa, se cita para junta ? general, que ha de celebrarse el día 2 de Mayo pr…</t>
  </si>
  <si>
    <t>Pinzón, Andrés</t>
  </si>
  <si>
    <t>Andrés Pinzón</t>
  </si>
  <si>
    <t>…do de su plaza, y honores de la Cámara de Indias: asimismo se ha dignado nombrar para eí corregi miento de Tunja, en el vireinato de Santa Fe, vacante por haber cumplido su tiempo D. Andrés Pinzón, al teniente coronel D. Aparicio de Vídaurrazaga y Menchaca: para la dignidad de chantre de la santa iglesia catedral de Pana má, vacante por fallecimiento de D. Josef María Santos, á D. Tomas Puyol; y para la media ración de la santa iglesia catedral de Vall…</t>
  </si>
  <si>
    <t>Piré</t>
  </si>
  <si>
    <t>…aba aguardando en Viena ai embajador de Francia conde de Caraman, dé vuelta de Italia/é inmediatamente saldría de aquella corte para Carlsbad. ' - 7 Idem 21* Ha llegado á París el general Piré, en virtud del permiso que ha obtenido del Rey. .para volver á Francia , de donde estaba desterrado como compren dido en el decreto de 24 de Julio. . ' Idem 22* ' ; Según dice una carta particular dé Carlsbad de fecha 13 del corriente, las bases de ciértas. m…</t>
  </si>
  <si>
    <t>Pizana, Luis</t>
  </si>
  <si>
    <t>Luis Pizana</t>
  </si>
  <si>
    <t>IQ$Q naridez; *“D. Francisco déPaiila Scaríatí; D.: Gerónimo Diego Sánchez, y Do» Pedro Bulliez. - ’ .j 1 Honores de gentileshombres de la Real casa. A D. Luis Pizana; D. Manuel de Ibarra y Padilla ; D. Francisco Florez, y D. Pedro Josef Lesaca. Sumilleres supernumerarios de cortina. Al Dr. D. Martin Gil, deán de la santa iglesia de Mechoacan, y Don Josef Vivas de Aragón, canónigo de la catedral de Astorga. Honores de médi…</t>
  </si>
  <si>
    <t>PJanzon, Celso</t>
  </si>
  <si>
    <t>Celso PJanzon</t>
  </si>
  <si>
    <t>…rteche , y per el orden de las respectivas censurasj á saber: en la clase de gramática latina li bros facultativos á D. Manuel Martinez, D. Servando Aíarañon, D. Cristó bal Rubio, D. Celso PJanzon ,SD. Fernando Perez de Rozas y Campuzano y D. Domingo Díaz: en la de matemáticas puras medallas acuñadas á pro pósito á D. Santiago Cocolina, y al cadete de artillería D. Pedro OJano: en da de dibujo una .medalla de oro á D. Benito Campo , y otra de plata á D…</t>
  </si>
  <si>
    <t>PL, Ri</t>
  </si>
  <si>
    <t>Ri PL</t>
  </si>
  <si>
    <t>…e sus feligreses;, sáo^Núm. 282. Dpña F. H, Ao2oOi;Ñúmerp 283. D. N. Ni 160.. Núm. 284L P. J. de M. de.C. 5QQ, Ñúm;. a8&gt;. Doíi Y. P. de L. roo, Núm. 286. D, JM D- M. ioo&gt; Núm 287- Doña Ri PL 200. Asimismo se haOi sÚSGrit9 lo señores siguientes :r:i T r ;; ¡ &gt; Núm. 31. Dj .Atlejo ¡Casado, durante la epidemia ^ cop, 39 rs. mensuales. Ntím. 32. D. F. A. Vi , por ídem, con 30 ídem. *Núni^;33&gt;iP S S, con 2 reales diarios por-un año*. Núm. 34. D. Sebas…</t>
  </si>
  <si>
    <t>Platner</t>
  </si>
  <si>
    <t>…opagar por los distritos circunvecinos este útil cultivo, hemos venido en nombrarle caballero de la orden Real de la legión de Honor.” Ha muerto en Leipsik á la edad de 73 años el profesor Platner, médico y filósofo sabio , en un estado casi completo de enagenacion mental. Había es crito varias memorias .muy ingeniosas sobre esta terrible-enfermedad, de la que él mismo vino á ser víctima: en sus obras impugnó siempre los muchos sistemas de metafísica i…</t>
  </si>
  <si>
    <t>Ploicamin, Antonio</t>
  </si>
  <si>
    <t>Antonio Ploicamin</t>
  </si>
  <si>
    <t>…. El tercero el uso de la plan cheta y otros instrumentos sim ples para medir por el aire con facilidad y exactitud , y nivelar regadíos para fertili zar los campos. Compuesto por D. Antonio Ploicamin, tercera edición. Se hallará ¿n la librería de González, calle de Atocha, á 20 rs. en pasta y 18 en pergamino. Memorias de agricultura y artes que se publican de órden de la Real junta de gobrerno dei comercio de Cataluña, cuadernos 5.0 y 6.° deFtomo 8.° Se v…</t>
  </si>
  <si>
    <t>PMa, José</t>
  </si>
  <si>
    <t>José PMa</t>
  </si>
  <si>
    <t>…undido en esta ciudad y provincia el gustó y los ► conocimientos matemáticos por _medio.de Jas. ^dps .cátedras que sucesivamente ha erigido y, conserva. .En seguida Vlos - alumnos D. José PMa ría de'Franco y de Mora, D. Juan ^Cascante y ;Boxeda,SD. Buenaventura Guardia Pía 'yFresáisy y D. Josef ■Romualdo, de .Bofarrull y .Broca, disertaron. Sobre varios puntos.de aritmética -y álgebra,, des pues* de loque* satisfizo* cada uno áUas preguntas.que le…</t>
  </si>
  <si>
    <t>Poéy, Juan</t>
  </si>
  <si>
    <t>Juan Poéy</t>
  </si>
  <si>
    <t>…em segundo á D. Isidro de Certucha. Idem tercero á D. Juan Bernardo de Uriarte. Segundo año: primero á D. Josef María de Aguirre; segundo á D. Carlos de Espinóla, y segundo idem á D. Juan Poéy. Geografía, primero i D. Juan Poéy. Estos premios consistian en 22 medallas de plata, que Ies fueron puestas por los señores alcalde y demas capitulares del ilustre ayuntamiento, y por varios eclesiásticos y otras personas de la mayor distinción que concurrie…</t>
  </si>
  <si>
    <t>Poíigiiac, Julio de</t>
  </si>
  <si>
    <t>Julio de Poíigiiac</t>
  </si>
  <si>
    <t>…eraba dicha mocion como la mas funesta que pudiera hacer le en la Cámara. . ’ Apoyaron la propuesta el conde de Casteífane, el vizconde de Montmorency, el marques de Pastoret y el conde Julio de Poíigiiac; y habiéndose diferido la discusión de este asunta, se ha vuelto á ventilar virios dias, y por último se ha aprobado en la sesión de hoy la propuesta del marques Barthelemy por 98 votos contra $5. ESPAÑA.' Moguer 4 de Febrero. El corregidor de esta ciudad erí…</t>
  </si>
  <si>
    <t>Polanco, Francisco</t>
  </si>
  <si>
    <t>Francisco Polanco</t>
  </si>
  <si>
    <t>…o'cn su empleo con la nobleza personal y medalla de oro. : D. Teodoro García.Tue^confirmado en su empleo, y condecorado conla nobleza personal. . ; '' : J . Escuadrón de Tiznados. D. Francisco Polanco. Se le confirmó en el em pleo de capitán, y obtuvo la medalla de oro y la nobleza personal. Escuadrones del Rey. D. Raimundo Flores. Se le confirmó en su empleo, y se le concedió el Don personal. Campo -volante de Orituco. D. Raimundo Marqües. Fue confirmado…</t>
  </si>
  <si>
    <t>Poleresqui, Juan</t>
  </si>
  <si>
    <t>Juan Poleresqui</t>
  </si>
  <si>
    <t>…rreos. En virtud de providencia del Sr. D. Angel Fernandez de los Ríos, del Con sejo de S. M., teniente primero de corregidor de esta muy heroica villa, se cita, llama y emplaza á D. Juan Poleresqui y D. Juan Muga Villamor, cuyo paradero se ignora, para que dentro de 30 dias, contados desde el 5 del corriente, acudan ante S. S. por la escribanía de número de D. Casimiro Antonio Gómez, á decir de su derecho y justicia en la instancia promovida en este juzgado por D. Lope de Quev…</t>
  </si>
  <si>
    <t>Polo, Francisco</t>
  </si>
  <si>
    <t>Francisco Polo</t>
  </si>
  <si>
    <t>…la de D. Antonio María Bergano; en Burgos en la del Lie. D. Cipriano López ; en Ciudad-Rodrigo en la de D. Julián Ledesma; en León en la de D. Santiago León; en Falencia en la de D. Francisco Polo; en el Burgo deOsma en la de D.Bar tolomé Rui/ ; eñ Segovla en la de D Bernardíno del Pozo; en Salamanca en la dé D; Josef Medina;-en Sigüenza en la del Lie. O. Juan.Antonio Mendéz; en Santan der en la del Lie. D. Ramón de Egnarasyen Valladolid en 1a del Dr.…</t>
  </si>
  <si>
    <t>Pons, Mariano</t>
  </si>
  <si>
    <t>Mariano Pons</t>
  </si>
  <si>
    <t>…has que indujo el citado Morales fue detenido en la Real cárcel, y hechas las cor respondientes averiguaciones se comprobó la falsedad de todo, y confesó por dos cómplices.suyos á D. Mariano Pons, oficial jurado, como él , y I). Juan Miguel Aloy., isleño, los cuales debían hallarse en Zaragoza; por lo cual se comunicó este incidente al capitán genera! de Aragón, y el mismo tribunal co misionó á su alcalde D. Mariano Rufino González para la instrucción…</t>
  </si>
  <si>
    <t>Pont, Antonio Hernández del</t>
  </si>
  <si>
    <t>Antonio Hernández del Pont</t>
  </si>
  <si>
    <t>…del Puerto de Sta. María al mariscal de campo D. Miguel Tacón: el de la pla za de Cardona ai coronel D. Ramón Gayan, teniente de rey de la plaza de Zaragoza: el de la de Monzon al coronel D. Antonio Hernández del Pont, comandante de batallón del regimiento de infantería del Infante D. Carlos: el del castillo de Moqjuich , de la plaza de Gerona, al capitán D. Gabriel Sedó¿ teniente del regimiento de infantería de. Granada: el del castillo de Porto-Pe-* tro, en la isla de Ma…</t>
  </si>
  <si>
    <t>Pont, Vicente Peñalva y</t>
  </si>
  <si>
    <t>Vicente Peñalva y Pont</t>
  </si>
  <si>
    <t>…alcalde.del crimen honorario'de la Real audiencia de Extremadura, y corregidor de dicha ciu dad; D. Joaquín Almazan y Ximeno, alcalde de Casa y. Corte, y el comi sario! honorario D. Vicente Peñalva y Pont, regidor perpetuo y decano del ayuntamiento de la villa de Onteniente, tuvo el particular honor de besar la Real mano y felicitar á S. M. por su augusto enlace, con cuyo motivo dijo el primero: ,, Señor: El recordar á V.,M. los diputados de la ciudad de Chinc…</t>
  </si>
  <si>
    <t>Pont, Vicente Tormo y</t>
  </si>
  <si>
    <t>Vicente Tormo y Pont</t>
  </si>
  <si>
    <t>…providencia del Sr. D. Josef Manuel de Arjona, del Consejo de S. M. en el supremo de la Guerra ^corregidor «de esta muy heroica villa Scc., á vir tud de despacho requisitorio del Sr. D. Vicente Tormo y Pont, del Consejo de S. M«, su "alcalde del crimen honorario de la Real chancíllería de la ciudad de Granada, y alcalde mayor de la ciudad de Málaga y su jurisdicción, se cita, llama y emplaza á todos los censualistas, acreedores, prestamistas, propietarios, accio…</t>
  </si>
  <si>
    <t>Ponta, D Joaquín</t>
  </si>
  <si>
    <t>D Joaquín Ponta</t>
  </si>
  <si>
    <t>Dirigió la fiesta ef caballero Niccolrnj, arquitecto t #y , bajo sa, inspección bao trabajado los mejores artistas de la córte. . El Sr. D Joaquín Ponta, secretario del Excmo. Sr. duque de Berwick, y elegante poeta, compuso al asunto de la festividad una excelente oda italia na, que recibió S. M. con aprecio. v ¿ Roma a® de Abril. El Emperador y la Emperatriz de Austria han ido uno de estos dias á Frasean, el…</t>
  </si>
  <si>
    <t>Ponzoa, Josef Antonio</t>
  </si>
  <si>
    <t>Josef Antonio Ponzoa</t>
  </si>
  <si>
    <t>…dos alumnos que presentaron, D- Diego Carrasco y?D,.Leon Soriano, fueron premiados cada uno con una; medalla de plata por sus adelantamientos en la parte de enseñanza;'Al doctor, D. Josef Antonio Ponzoa, secretario de la Real sociedad de Murcia, se le distinguió también con el título de socio de mérito,,.y con una medalla dé oro por la memoria que ha,dirigido spbreél cultivo de cáñamo y lino en está provincia., premio ofrecido en el manifestó. A Nicolás Frún…</t>
  </si>
  <si>
    <t>Porta, Ramón</t>
  </si>
  <si>
    <t>Ramón Porta</t>
  </si>
  <si>
    <t>…Pérsona Di Jo sef V idaurre, D. Rafael Rico, D. Celestino Arel lañó, D. Josef Jiménez, Don Juan Pedro Isr.si, D. Miguel Infante, D. Josef Aguirre, D&gt; Alonso Reina; D Josef Garci, D. Ramón Porta, D. Francisco Marín, D. Manuel Capace te , D. Josef Morales , D. Matías Michana, D. Gregorio de Casadevals, Don Miguel Fassia, D. Manuel Gómez, D. Miguel Reina y D. Manuel Rojas. - Valladolidá'S de Julio. • ! , n ;• / La Real sociedad económica de esta capita…</t>
  </si>
  <si>
    <t>Portal</t>
  </si>
  <si>
    <t>…os extrangeros; al conde Decazes’para eLministerio del Interior? á Mr. de Serré, presidente del tribunal de Colmar, y miembro de la Cámara de los diputados, para guarda-sellos; al barón Portal, individuo de la Cá mara de los diputados, y consejero de Estado, para el ministerio de Marinay y al barón Luis,” miembro de la Cámara de los diputados, para el ministerio de Hacienday. queda suprimido el ministerio general de Policía. La gaceta de Amsterdam…</t>
  </si>
  <si>
    <t>Portalis</t>
  </si>
  <si>
    <t>…conde de.............., al conde de Pontecoulant, á nuestro primo el duque de Plasencia, al mariscal de campo marques de Pange, al consejero de Estado conde Pelet de la Lozere, al conde Portalis, consejero de Estado, y ministro plenipotenciario cerca de la Santa Sede, al conde Reilie, teniente general, al conde Ruppy, teniente general, al conde Rapp, teniente general, al conde Rampon , al teniente gene ral conde de Sparre, á nuestro primo el marques…</t>
  </si>
  <si>
    <t>Portocarréro, Juliana Teresa</t>
  </si>
  <si>
    <t>Juliana Teresa Portocarréro</t>
  </si>
  <si>
    <t>…del reino, en el día se reclama su propiedad por parte de D Josef Luís Escalada, como administrador de las memorias fundadas por las Excmas. Sras. Doña Le onor María de Carreto y Doña Juliana Teresa Portocarréro, marquesas que fueron de Mancerá, ’ para que en el' preciso y perentorio término' de 2O'dias , contados desdé la publica-ion de este anuncio, comparezcan á deducir sus acciones por dicho ju ga do y escribanía del número á cargo de D. Anselmo Ordoñez; entendid…</t>
  </si>
  <si>
    <t>Portugal, Henriquc Ataide y</t>
  </si>
  <si>
    <t>Henriquc Ataide y Portugal</t>
  </si>
  <si>
    <t>…tinada á la instrucción de la juventud que está próxima á entrar en el trato del mundo,.por Mr. Aytné , canónigo de la iglesia de Arras , y traducida del francés al castellano por D. Henriquc Ataide y Portugal: segunda edición: cuatro tomos en 8.° Se hallarán en la librería de Barco López, calle de la Cruz, y de Rodrí guez , calle de las Carretas. ■» . 7 Oficios de virtud que guian á la bienaventuranza, compuestos en latín por el doc tor de la iglesia S. Ambrosio,…</t>
  </si>
  <si>
    <t>Posadillo, Julián Nieto</t>
  </si>
  <si>
    <t>Julián Nieto Posadillo</t>
  </si>
  <si>
    <t>…se ¡a conducción en el prime,r buque que,salga para aquellos dominiós, bajo la mas estrecha responsabilidad de ios gefes,” : i . '■ r.'j » En atención á ios méritos y servicios de D. Julián Nieto Posadillo, ad ministrador de alcabalas de Guanajuató, ha venido el Rey nuestro Señor en con cederle la cruz de caballero de la Real orden Americana dé Isabel la Católica. En el anuhcid.que, se hajtóip por'medio de la gaceta de las listas de los ContriBhyehtes ry!:iÍusc…</t>
  </si>
  <si>
    <t>Posse</t>
  </si>
  <si>
    <t>…o sido saludado S. M. con los hono res militares, se adelantaron los gefes de los regimientos para recibir las banderas de sus .cuerpos respectivos. Presentólas al Rey el teniente general Posse, y S: M. las entregó al Príncipe Real para quedas pasara á los corone les, dirigiendo á S. A. R. las palabras siguientes? „Decid á los señores coro neles que esas banderas del color nacional deben ser en todos ¡tiempos-.señal de reunión en defensa del Estado,…</t>
  </si>
  <si>
    <t>Povéda, Gabriel</t>
  </si>
  <si>
    <t>Gabriel Povéda</t>
  </si>
  <si>
    <t>…o del vallécito, que va á salir al parage llamado Chiquiaca ^ retaguardia de; las* Misiones, 150 infantes y 30 -caballos á las* órdenes; déf capitán gradua do ' de tenientecoronel D. Gabriel Povéda t este halló en la1 cuesta; dé la Solé-» dád-al caudillo Espinosa, lé atacó :con denuedo- ylederroió, escapándose solo» «site: rebelde^ Quedaron en poder déi vencedor porcío» de prisioneros, éntre ellos un:oficial , bastante número de fusiles y caballos. *r n…</t>
  </si>
  <si>
    <t>Poveda, Ramón Ramos y</t>
  </si>
  <si>
    <t>Ramón Ramos y Poveda</t>
  </si>
  <si>
    <t>…uel Alemp.te 320. Núm. 44. Don Francisco Navarro, bordador, 60. Núm. 45. Los oficiales de D. Francisco Navarro, maestro bordador, 130. Núm. 46. D. Juan de Lecanda 100. Nú mero 47. D. Ramón Ramos y Poveda 100. Núm. 48. D. N. 40. Núm. 49* D. Laureano Ramos y Peña 20. Núm. 50. D. Juan Antonio Salcedo, cura de S. Ginés de Madrid, 300. Núm. 51. D. Pedro Marcelino Blanco 20. Nú mero =52. El señor cura cíe S. Ginés, por limosnas que le han entregado algu nos feligre…</t>
  </si>
  <si>
    <t>Power, Juan</t>
  </si>
  <si>
    <t>Juan Power</t>
  </si>
  <si>
    <t>…o disculpable en repetir á V. S el mérito nuevamente contraído por los oficiales que he tenido el Honor de mandar en este tienipo, y son: del re gimiento de infantería de Zaragoza capitán D. Juan Power, tenientes D. Joa quín Araujo, D. Juan Bautista Echeverría y IX Ramón Tajonar; subtenientes D. Francisco Campo Osorio, D. Santiago Bermejo, D. Juan Benavente y Don Tomas Cepero: del primero Americano capitán D. Joaquín Sánchez Badajoz; subtenientes D. Juan Ca…</t>
  </si>
  <si>
    <t>Power, Jugn</t>
  </si>
  <si>
    <t>Jugn Power</t>
  </si>
  <si>
    <t>…e armas y municiones con arreglo á mi oferta; y nosJiabiéndolo efectuado en aquella misma noche, dispuse saliese el capitán de gra naderos del regimiento de infantería de Zaragoza D. Jugn Power con una sección de 1.00 hombres para observar al enemigo, y en caso de que los, movimientos de este no, coincidiesen coq su . oferta les quitas^ tqdo. .recursó de manutención, de que se hallaban sumamente escasps por í^berles destro zado en-mi anterior'expedi…</t>
  </si>
  <si>
    <t>Pozo, Alfonso del</t>
  </si>
  <si>
    <t>Alfonso del Pozo</t>
  </si>
  <si>
    <t>…último, para que dentro de 3O1 dias, que por primero y último térmi no se señala, contados desde 14 de Jimio, comparezcan ante S. S. y por la escriba nía de las mismas al cargo de D. Alfonso del Pozo, por sí ó por medio de procura dor, con poder bastante, á deducir su dferecho en los autos de testamentaría, que* si; asi lo hiciesen se les oirá; con apercibimiento que pasado el referido término sin les* mas-citar ni llamar &amp; procederá a lo conveniente en i…</t>
  </si>
  <si>
    <t>…e 27 de Setiembre; últinyo del Sr. D. francisco Xavier de Qieda del Consejo de S. M. en. ¿I.supremo de; Hacienda, juez asesor general dé la ¿leal casa y patrimonio &gt; refrendada de D. Alfonso del Pozo , escribano de S. M. y sus Reales caballerizas , se ha convocado á junta á todos los acreedores de D. Antonio Silves tre de lparraguirre, guarda mayor que fue del Real sitio del Pardo, el sábado 23 del corriente, á las nueve de su mañana, en la audiencia de S…</t>
  </si>
  <si>
    <t>…providencia de 20 de este mes del Sr. D. Francisco Xavier de Ojeda, del Consfejo de S. M. en el supremo de Hacienda, juez asesor general déla Real Casa y Patiimonio, refrendada de D. Alfonso del Pozo, escribano de S. M. y sus Reales caba llerizas , y para pago de acreedores se han mandado sacar á pública subasta por otros 15 días mas, y señalado para su remate el último, que será el 4 de Diciembre pró ximo, y hora de las 10 de su mañana, en la audiencia d…</t>
  </si>
  <si>
    <t>Pozo, Angel Martínez del</t>
  </si>
  <si>
    <t>Angel Martínez del Pozo</t>
  </si>
  <si>
    <t>…irico Antonio Egaña. De Ma zarrón. A D. Pelegrin Miguel de Barbastro. De los Barrios en el campo de Qibraltar. A D. Antonio Becerril Hiño josa.. Segundo de la ciudad de Córdoba. A D. Angel Martínez del Pozo. : De Camprodons. A D. Estanislao Oloriz y Este!les. De Berga. A D. Salvador Arnaldo y Segaría. De Elda. A D. Melchor Cortés y Llagas.; , , ' . . ' En América.• El Rey nuestro Señor-se ha dignado nombrar para la pía* .z&amp; de oidor .de la-Real audiencia dé Char…</t>
  </si>
  <si>
    <t>Pozo, Antonio García</t>
  </si>
  <si>
    <t>Antonio García Pozo</t>
  </si>
  <si>
    <t>…si se diabia ya cumplido el lisonjero presentimiento de Boheraave acerca del hallazgo de un antídoto para la curación dé Iá "rabia, ó. sí era preciso tra bajar aun para buscarlo”; D. Antonio García Pozo, que disertó sobre ,,si en la enfermedad conocida con el nombre de angina se distinguen con precisión las especies laríngea, traqueal, membranácea ó croup, y el catarro sofocati— vo”, y D. Vicente López Losada , que leyó sobre ,, la confianza qúé mere cen en…</t>
  </si>
  <si>
    <t>Pozos, Rafael</t>
  </si>
  <si>
    <t>Rafael Pozos</t>
  </si>
  <si>
    <t>…Francisco Cortazar, y á mi ayudante de campo el teniente del regimiento de infantería de línea de Zaragoza D. Josef María de Casas. j, Asi como igualmente al capitán de Realistas D. Rafael Pozos, pues se gún antes he expuesto á V. S. me abrió campo para mis ulteriores combinacio nes, y desde que sé halla á mi lado cada momento manifiesta mas deseos de sacrificarse en obsequio de nuestro Soberano.</t>
  </si>
  <si>
    <t>Pra, Benito</t>
  </si>
  <si>
    <t>Benito Pra</t>
  </si>
  <si>
    <t>…; los mayordomos de semana marques de Ovieco; marques de Campovillar; D. Fernando Solís y Montoya; D Manuel Centurión , y D. Melchor Montoya; los 12 gentileshombres ae boca y casa D. Benito Pra do, el barón de Casa-Davalillos, D. Josef Navarro del Dosal, D. Antonio deOñativia, D. Antonio Solana, D. Manuel.de Almarza, D. Tomas Norza-f garay, D. Josef Pascual Oto , D. * Josef Sesé, D Josef Diez, D. Simón Ma teo Perez y D. Donato Arranz; los ocho indiv…</t>
  </si>
  <si>
    <t>Práclo, Tomas de Sanéha y</t>
  </si>
  <si>
    <t>Tomas de Sanéha y Práclo</t>
  </si>
  <si>
    <t>…or providetícía 'dét $r..l&gt;.‘ _A^gél..F«Jfní«íHez dé los'Ríos^ del Consejo de S. M., teniente i.° de corregidor de esta muy’ lieróica villa , refrendada‘del escribano de su minero D. Tomas de Sanéha y Práclo, se'ha mandado1 sacar 'nuevamente á subasta por término de 15 dias, unas casas ¿itás én'está corte y su «Talle de la Reina, esqui na á la de las Torres, señalada con él níim. ro.Ja prinbipál dón depósito de dos tenajas ,-cañería, tres fuentés dé piedra y ún ?…</t>
  </si>
  <si>
    <t>Prada, Benito Arias de</t>
  </si>
  <si>
    <t>Benito Arias de Prada</t>
  </si>
  <si>
    <t>…e de superficie 5121 pies con siete octavos, tasado en £1,2-19 rs. vn..Para su remate está señalado el día 5 de Enero próximo venidero, a.las 12. de su mañana, en la posada delSr. D. Benito Arias de Prada, del Consejo de S. M. en el supremo de Castilla, juez interventor en virtud de Real orden de las rentas de la Exenta. Sra. duquesa de Algete, marquesa viuda de Alcañices, el que la tiene en.la plazuela de las Descalzas Reales, casa titulada de Villena, cuarto…</t>
  </si>
  <si>
    <t>Prado, Estéban</t>
  </si>
  <si>
    <t>Estéban Prado</t>
  </si>
  <si>
    <t>…drones^ del Rey. D. Apólinario Alberto. La nobleza!personal. • Captan de milicias. D. Josef Alvarez , natural de Sv Carlos. Xa nobleza personal. '= ■■■ — * Campo -volante del Pao. D. Estéban Prado. Aprobado en su empleo de teniente, y Don personal. . Segundo ayudante de cirugía del egército. D. Tomas Carrillo. La no bleza personal. ■ ; , .! Segundos practicantes de cirugía. ?D. Juan Rodriguezí La nobleza per sonal. D. Francisco Ortega, ídem; y D. p,áin…</t>
  </si>
  <si>
    <t>Prado, Tomas de Sancha y</t>
  </si>
  <si>
    <t>Tomas de Sancha y Prado</t>
  </si>
  <si>
    <t>…su número Don Juan Raya. ^ Por providencia del Sr. EX Manuel Josef Rubio, del Consejo de S. M., teniente de corregidor de ésta muy heroica villa, y por la escribanía del número de D. Tomas de Sancha y Prado, se vende á voluntad de su dueño una casa sita en esta corte , y fu calle de los I&gt;o¡s Amigos, númv ió, manz. 539, con 5847 pies de superficie, ta sada en 6® rs; anuales después de egecutadas ciertas obras, y en venta en 274800 rs. Quien quisiere hacer postur…</t>
  </si>
  <si>
    <t>…virtud de providencia del Sr. D. Angel Fernandez de los Ríos, del Consejo dé S. M., teniente primero de corregidor de esta muy heroica villa, y por la escri- ‘ banía de numero de D. Tomas de Sancha y Prado, está mandado sacar á subasta pa-" ra pago de acreedores, para cuyo remate se ha señalado el dia 8 del presente mes de Mayo de doce á una de su mañana en la audiencia de S. S,, las fincas siguientes: en * el lugar, de Molinar, valle de Carranza, señorío de Vi…</t>
  </si>
  <si>
    <t>…por herederos; y por auto proveido por el Sr. D. Angel Fernan dez de los Ríos, del Consejo de S. M., teniente corregidor de esta muy heroica vi lla, ante el escribano de su numero D. Tomas de Sancha y Prado, se ha mandado entre otras cosas se cite y emplace á cualesquiera personas que sé crean con derecho á los bienes de dicha Doña Francisca Antonia García Vicente, para que dentro del término de 30 dias, contados desde la publicación de este anuncio, acudan ú de…</t>
  </si>
  <si>
    <t>…Sr. D. Angel Fernandez de los Ríos, del Consejo de S. M., teniente primero corregidor y .juez comisionado, se anuncia por providencia de S. S., refrendada del escribano de numero D. Tomas de Sancha y Prado, para que las personas que quie ran hacer postura á dichas ñncas juntas ó separadas acudan á S. S. por ia citada es cribanía , que no siendo manos muertas se admitirán las que hicieren, siempre que cubran el precio de la tasa, á pagar en metálico. Está señala…</t>
  </si>
  <si>
    <t>Prat, Juan Antonio de</t>
  </si>
  <si>
    <t>Juan Antonio de Prat</t>
  </si>
  <si>
    <t>…de los (jaílégósTel del c&amp;stillo deFolien ¿á , en Mallorca, al fenienté D. Antonio Mbuleoriy SBbteñieiite del regimiento de infantería de Asturias; éí;,de Taíal*n,jen Gátaluña, al coronel D. Juan Antonio de Prat, capitán déí primer regimiento de Reales Guardias de infantería'; h tenencia de Rey dt Cartagena al coronel D, Rafael Pestío, capitán del regimiento de infantería de la Corona ; la sargentía may or del castillo dé Monjuieh de Barcelona al tupiente •,coronel.…</t>
  </si>
  <si>
    <t>Pratt</t>
  </si>
  <si>
    <t>…ilí semejante en orden á ,las-cédulas de 20 libras esterlinas del banco de sol"sh- r-«n:D vi h hi.'i :.y -rmn,- r:b a! f’*A ^¿.Aypr.áí las ti$g d;e¡ la mañana llegaren el teniente,coronel Pratt ^caballerizo ? del,¡Duque de tWenterEd^ard^Hali &gt; á, casa de lord Castiedf,{Í^.U#.aI&gt;n¿o^M&gt;Fruacipe resietoapdo.seguran.sin t novedad-.,: .. &gt;--j 0'iq * ;&gt;■ *;• i :• cfm 1; " ^ • «v . .No fue,¿n afort^ád^ en. su p?rtqi;Jp Duquesa;dé plarencé, Ptíncipió á-í</t>
  </si>
  <si>
    <t>Preameneu, Bigot de</t>
  </si>
  <si>
    <t>Bigot de Preameneu</t>
  </si>
  <si>
    <t>…n Pasquier, ministro de Estadqymiembro de la. Cámaré de los Diputados; conde Dará, Par de Francia; tofideMbliieh ;idcm; conde Saint-Aulairey miembro de la Cámara de los Diputados; conde Bigot de Preameneu, miembro de la comisión de los hospicios; Mr. Roy, ministro de Estado, miembro de laCámara de los Dipurádos; barón Délaítre, miem bro de la Cámara, de los Diputados5 el dbate Desjardins, cura de las misiones extrangeras; Giiizot , -consejero de Estado, direct…</t>
  </si>
  <si>
    <t>Preemantle</t>
  </si>
  <si>
    <t>…gó á este .puerto.el, contra-almirantef ¡francés- conde de Juríeu en ^1 navio Coloso, que ser -ha de reunir iaqui -con .el .buque ingles nombrado el Rochefort, al mando del Contra-almirante Preemantle,} para proteger la na vegación: del Mediterráneo, y hacer á las. Regencias Berberiscas la, intimación que acordaron las Potencias europeas en el Congreso de Aquisgran. Estado, que manifiesta los barcos que existían incomunicados en este la zareto él dio. do d…</t>
  </si>
  <si>
    <t>PreislCr, Francisco</t>
  </si>
  <si>
    <t>Francisco PreislCr</t>
  </si>
  <si>
    <t>…prisioneros y mató alguna gente, huyendo los demas á sú antigua guarida del Caujaral. S. Fernando ha sido fortificado con mucha in teligencia por el teniente coronel de ingenieros D. Francisco PreislCr, y’ há quedado allí una guarnición respetable á las órdenes del comandante de bata llón D. Juan Nepomuceno Montero. Parece pues concluida la campaña de los Llanos en &lt;cuanto las inundaciones ya no permiten operar en etios; y amí cuando la fuga de los rebeldes…</t>
  </si>
  <si>
    <t>Pretaliá, Rafael</t>
  </si>
  <si>
    <t>Rafael Pretaliá</t>
  </si>
  <si>
    <t>…iatamente mandé poner lista mi caballería é infantería!* y con parte de ambas armas salí con la mayor prontitud , y al mismo tiempo des taqué al teniente graduado de mi regimiento D. Rafael Pretaliá con 40 caba llos de dragones del Príncipe para que á toda costa avanzase hasta lograr qui tarles el ganado, que se llevaban, siguiendo yo con el resto de la tropa á un paso forzado para auxiliarle en caso necesario. En efecto, después de perse guido el rebeld…</t>
  </si>
  <si>
    <t>Prieto, Ignacio</t>
  </si>
  <si>
    <t>Ignacio Prieto</t>
  </si>
  <si>
    <t>…del teniente D. Mariano Guillen , y los fieles del Potpsí por el centro, por la derecha el alférez Don Antonio Rodríguez con su caballería, y por la izquierda el capitán graduado D. Ignacio Prieto, para que-cortados los enemigos por está caballería, pu diese la infantería obrar con libertad, á pesar.de la posición ventajosa que siempre acostumbran; mas la espesura de los bosques interrumpieron mi pro yecto, batiéndose Ja infantería en este, tiempo con…</t>
  </si>
  <si>
    <t>Prós</t>
  </si>
  <si>
    <t>…a isla de Cuba "D.-Alejandro Ramírez, ha tenido S. M. á bien concederle los honores del Consejo supremo de Indias. También se tía dignado conferir los de intendente de provincia á D. Prós pero Amador García, comisario ordenador, é inspector del Real hospital mi litar de la Havana; á D. Domingo Quii^ero, ministro interventor jubilado de Reales obras de fortificación de la misma plaza, y á D. Josef Árango , tesorerq de egé.FCÍto jubilado de la p…</t>
  </si>
  <si>
    <t>Protector</t>
  </si>
  <si>
    <t>…za, mientras adelantán dose esta saludable ela^e de'conocimientos se publique otra que presente ma yores ventajas. De-Real orden lo prevengo í V. S. para conocimiento del Serrrto.’Sr. Protector de esa Sociedad, y para que ella cuide del cumplimiento de lo resuelto por S. M. en beneficio de sus pueblos. Palacio 26 de Mayo de ■ 1819. = Marques dé Casa-Irujo. = Sr. secretario de la Real Sociedad econó mica Matritense.” Enterado este cuerpo patriótico,…</t>
  </si>
  <si>
    <t>Puche, Alonso Díaz</t>
  </si>
  <si>
    <t>Alonso Díaz Puche</t>
  </si>
  <si>
    <t>…gobierno. Madrid 30 de Setiem bre de 1819.” ■ ' ’ ■ - ¡ • Por Real resolución de 8 del presente mes, á consulta del Consejo' supre mo de la Guerra, se ha servido S. M. conceder á D. Alonso Díaz Puche, re sidente en la ciudad de Murcia, el fuero militar y uso de uniforme de médi co de n úmero ,de egército, en premio de los servicios que ha contraído en la ultima guerra. , . Por otra de la misma fecha se ha* servido S. M. conceder; el fuero militar y uso de…</t>
  </si>
  <si>
    <t>Puente, Josef María</t>
  </si>
  <si>
    <t>Josef María Puente</t>
  </si>
  <si>
    <t>…í tenga: y está señalado para su nuevo remate el día 13 del corriente mes de Marzo en la audiencia del nominado señor alcalde a las doce de la mañana. En virtud de providencia dei Sr. D. Josef María Puente, del Consejo de S. M., “alcalde de su Real Casa y Córte, refrendada de D. Carlos Rodríguez de Moya, es cribano de provincia, sé cita, llama y emplaza á todos los que se crean ser acreedo res ó herederos á los bienes que han quedado por fallecimiento de Josef…</t>
  </si>
  <si>
    <t>Puente, Manuel García</t>
  </si>
  <si>
    <t>Manuel García Puente</t>
  </si>
  <si>
    <t>…os, para que en re presentación del Dr. D. Josef León Lobo Guerrero, doctoral de la santa iglesia de .Monterey, la entregue á los hijos de Doña Francisca Marín, casada que fue con Don Manuel García Puente en la villa de. Tamaron; á los hijos de Doña Gabriela Ma rín, casada con D. Gaspar de Navas Márañon en la villa'1 de Celada deí Camino; í IX Melchor Marín y á D. Miguel Marín, asi bien como á los hijos respectivos da estos dos últimos. Para evitar reclamacion…</t>
  </si>
  <si>
    <t>Puente, Nicolás García</t>
  </si>
  <si>
    <t>Nicolás García Puente</t>
  </si>
  <si>
    <t>…de Santiago de Madrid, por limosnas recibidas de sus feligreses, 7®. Núm 434. D D G. T un vale co mún de 150 pesos , creación i.° de Enero de 1819 con el número 6331. Nú mero 435. D. Nicolás García Puente un recibo de 120. Núm .36. D. G. R. L. 160. Núm. 437. D. N. 40. Núm. 438. D. M. C. E. 100. Núm. 439. Dar ña J P. R. R. 100. Núm. 440. D. J. J C. 34. A‘imiimo se han suscrito las personas siguientes: Número 37. D. Francisco Xavier y su hijo D. Julián, durante…</t>
  </si>
  <si>
    <t>Puerta, Pedro la</t>
  </si>
  <si>
    <t>Pedro la Puerta</t>
  </si>
  <si>
    <t>…&gt;,LuisMañes,^e,lp;rka-sido en comisión» i pon Fernando Josef de. Toledo y elfGóml , alcalde del crimen de ia de Extre madura , á D. Laureano Josef Donado r de laI de Sevilla , y á D. Pedro la Puerta,;alcalde dd consejo de Navarra.- jí:ü = • ' í Asimismo S. M. se ha servido Conceder una plaza de oidor de la Real au diencia de Zaragoza, vacante por promoción de D. Pedro de Si Ives á ía ase soría de la superintendencia de la Real Hacienday á D. Santiago Bal…</t>
  </si>
  <si>
    <t>Puig, Josef María</t>
  </si>
  <si>
    <t>Josef María Puig</t>
  </si>
  <si>
    <t>…aviso de so camarera la condesa de la Tour. &amp; A. sigue sin la menor novedad en su importante saludé Madrid 21 de Mayo.. A R Tí cru IO DE OFÍC'í O. El Rey se ha servido conceder á D. Josef María Puig, D. Domingo Fer nandez: Campománes y D. Ignacio. Martinez.de Villeía, ministros del Con sejo Real ,, plazas en el de la Cámara Asimismo se ha dignado nombrar S. M. para una plaza del Consejo Real a. D. Joaquín Sistemes, ministro que era det Supremo de la Guer…</t>
  </si>
  <si>
    <t>Pumafejo, Pedro</t>
  </si>
  <si>
    <t>Pedro Pumafejo</t>
  </si>
  <si>
    <t>…n de la Real audiencia de Sevilla, y por la escribanía de D. An tonio Domínguez, penden autos sobre cumplimiento del testamento qué otorgó Pona;Francisca Lorenza Seguvir, viuda de D. Pedro Pumafejo, la cual por una dé las£láusttlasi:fundó, un, patronato de legos, nombrando por patrono y adminis trador de él á la Real casa hospital de la Sta. Caridad * extramuros de dicha ciu dad de Sevilla; y entre otras de ias fincas de que tomó posesión lo fue una hac…</t>
  </si>
  <si>
    <t>Puyol, Tomas</t>
  </si>
  <si>
    <t>Tomas Puyol</t>
  </si>
  <si>
    <t>…teniente coronel D. Aparicio de Vídaurrazaga y Menchaca: para la dignidad de chantre de la santa iglesia catedral de Pana má, vacante por fallecimiento de D. Josef María Santos, á D. Tomas Puyol; y para la media ración de la santa iglesia catedral de Valladolid de Mechoacan, vacante por no haber tomado posesión de ella D. Tomas Alvarez ViIlarroel, á D. Juan Romero Perdón, capellán de número de la Real armada. Él R$y se ha servido promover á alféreces…</t>
  </si>
  <si>
    <t>Qban-, Manuel</t>
  </si>
  <si>
    <t>Manuel Qban-</t>
  </si>
  <si>
    <t>…sus auspicios, y presidir por medio del Ex celentísimo Sr. marques de Feria , el egercicio público de matemáticas que en 25 de Agosto próximo tuvieron los caballeros seminaristas D. Manuel Qban-</t>
  </si>
  <si>
    <t>Qnintano, Pedro de Quevedo y</t>
  </si>
  <si>
    <t>Pedro de Quevedo y Qnintano</t>
  </si>
  <si>
    <t>…jones. El Sacerdote grande: oración fúnebre pronunciada en las solemnes exequias con sagradas por el gremio de comercio de la ciudad de Orense á la buena memoria del Emo. y Excmo. Sr. D. Pedro de Quevedo y Qnintano, presbítero cardenal de la santa romana Iglesia, obispo de dicha ciudad. Se hallará en la librería de Paz, frente á las gradas de S. Felipe el Real. Apéndice ú los cuatro tomos de juzgados militares de España y sus Indias por el mismo autor de la obra. Se hal…</t>
  </si>
  <si>
    <t>Qródinez, Juan</t>
  </si>
  <si>
    <t>Juan Qródinez</t>
  </si>
  <si>
    <t>…e hizo el experimento anduvo dos horas y media contra viento,y marea, que sin es-? tos obstáculos hubiera navegado cuatro millas por hora, 1 ESPAÑA. México 2 de Febrero, Parte del capitán D. Juan Qródinez al teniente coronel D. Antonio cíe , , ; Castro. , : V' v" ,,Si día y noche no hubiera sido tan vigilante el cuidado con que hasta el presénte me he conducido en este punto que vmd. tuvo á bien poner á mi cargo, podría haber tenido efecto la intriga que el en…</t>
  </si>
  <si>
    <t>Quesada, Josef García de</t>
  </si>
  <si>
    <t>Josef García de Quesada</t>
  </si>
  <si>
    <t>…canal viejo de Bahama, avistó dos embarcaciones, que por el aparejo que llevaban indicaban ser corsarios insurgentes, y. que se dirigían á ella: su comandante el teniente de Navio D. Josef García de Quesada se preparó para el combate, y acortó de vela para esperarlos: habiéndose aproxi mado, reconoció eran dos goletas, armadas la una con ocho piezas de arti llería en las bandas y cañón en cfugía, y la otra con cuatro carroñadas en las bandas y cañón giratorio: s…</t>
  </si>
  <si>
    <t>Quesada, Leandro de</t>
  </si>
  <si>
    <t>Leandro de Quesada</t>
  </si>
  <si>
    <t>…vos se les da cobrado por tercios. La provisión de ambas plazas se verificará para el dia i.° de Marzo próximo, y los memoriales se dirigirán al ayuntamiento por el conducto de su secretario D. Leandro de Quesada. \ Guia del Estado Eclesiástico seglar y regular de España é Indias para el ano de 1819, con el retrato de N. SS. P. Pió vii. Se hallará en el despacho de la imprenta Real. En el mismo despacho se halla de venta el primer tomo de Tratados de Matemá tica para…</t>
  </si>
  <si>
    <t>…al Real de S. Andrés de di cha villa. Su provisión se verificará para el dia i.° de Enero de 1820, y los memo riales se dirigirán desde luego al ayuntamiento por el conducto de su secretario Don Leandro de Quesada. Adrián y Estefanía, ó la Isla desierta. Historia faancesa por el autor de Berta y Richemont, y traducido al castellano por D. Santiago Hernández de Tejada: un to mo en 8.° con una estampa fina. Se hallará en las librerías de Barco López, calle de la Cruz, de…</t>
  </si>
  <si>
    <t>Quevedo, Francisco</t>
  </si>
  <si>
    <t>Francisco Quevedo</t>
  </si>
  <si>
    <t>…otra Real provisión expedida en 20 de Julio de 1646 para que se guarde y cumpla la egecutorta que va inserta á pedimento de tí. Pedro Car rillo Alderete y Quevedo ^ refrendada de D. Francisco Quevedo, escribano de Cámara. = Otra provisión con sus diligencias para que eb gobernador dé Vilíanuéva de los Infantes, ó persona qué dipute, vaya á dar posesión de la jurisdicción á D. Francisco Quevedo. Otra Real provisión con sus diligen cias expedida á 1.6 de Ab…</t>
  </si>
  <si>
    <t>Quevedo, Manuel de</t>
  </si>
  <si>
    <t>Manuel de Quevedo</t>
  </si>
  <si>
    <t>…D. Marcelo.Vicentees plaza de estuche, vale49 rs., que se co bran de los propios en efectivo. Los que aspiren á ella acudirán á dicho aytintapiieiir to por medio de su corregidor D. Manuel de Quevedo. El arquitecto práctico'civil, military agrimensor, dividido en tres libros. El pri mero contiene, la delincación, trasformacion, medidas, particiones de planos y uso de la pantómetra. segundo la práctica de hacer y medir tóelo género de bóvedas y edificios d…</t>
  </si>
  <si>
    <t>Quii, Domingo</t>
  </si>
  <si>
    <t>Domingo Quii</t>
  </si>
  <si>
    <t>…de Indias. También se tía dignado conferir los de intendente de provincia á D. Prós pero Amador García, comisario ordenador, é inspector del Real hospital mi litar de la Havana; á D. Domingo Quii^ero, ministro interventor jubilado de Reales obras de fortificación de la misma plaza, y á D. Josef Árango , tesorerq de egé.FCÍto jubilado de la propia. Asimismo ha tenido á bien conceder Jos honores de oficial Real de Améri ca á D. Francisco Josef Odio, adm…</t>
  </si>
  <si>
    <t>Quindós, Gregoria</t>
  </si>
  <si>
    <t>Gregoria Quindós</t>
  </si>
  <si>
    <t>…-ia-ÍÍ¿aLchancilIería de Valladolid , y teniente Corregidor de esta muy heroica villa, se cita , llama-y emplaza á las personas que se crean cop inmedia to parentesco á la difunta Doña Gregoria Quindós, viuda que era de D. Domingo Cuet, vecina de esta corte,' natural que fue de la ciudad de León, y derecho á ios bieney, caudal y efectos que han quedado por su muerte intestada, acaecida en 17 de Mayo, á fin de qué ¿ri el término preciso y\perentorio' de 30 d…</t>
  </si>
  <si>
    <t>Quintana, Josef Gómez y</t>
  </si>
  <si>
    <t>Josef Gómez y Quintana</t>
  </si>
  <si>
    <t>…ano Fernan dez Tejeiro, D Bartolomé ,Gil de Padilla, D. Francisco Ugarte y Epalza, D. Jo«ef Ibañez y Ortega, D. Joaquín Gutiérrez Peña, D. Fernando Guerra de la Vega y Callantes7, D. Josef Gómez y Quintana, D Manuel JLoigorrj y González, y el soldado distinguido-D..Deogracias Salinas,.se ha servido,con cederles grado de subtenientes de infantería. Siendo grata al Rey nuestro Señor la memoria de la lealtad y servicios de • D. Joaquín Moreno,, ministro tesorero d…</t>
  </si>
  <si>
    <t>Quintanilia, Josef Alonso</t>
  </si>
  <si>
    <t>Josef Alonso Quintanilia</t>
  </si>
  <si>
    <t>…eras cátedras de agricultura en estos términos.: la de Toledo á D. Francisco Martínez Robles, la de SevijHa á D. Josef Lucio Perez, la de Burgos á D. Pascual Asensio, la de Léon á D. Josef Alonso Quintanilia,y la de Badajoz á!Df Julián de Luna* Y poste^riorniente en Real orden de i.° de Mayo próximo pasado se djgnó Sf ijl. CÓnL ceder en iguales términos ía cátedra de Valencia á D. Francisco Gil. • Con Real orden de íj de Marzo del año próximo pasado de7181.8 ,se…</t>
  </si>
  <si>
    <t>Quintanilla, Josef de</t>
  </si>
  <si>
    <t>Josef de Quintanilla</t>
  </si>
  <si>
    <t>…do, con los eleiáehtos de retórica &gt;y poética de Araujot iD. Francisco de Pimía Ro.driguez, con la clave geográfica deiFiorez: D. Alonso Fernandez , con las‘fá bulas de Samaniego: D. Josef de Quintanilla, con las de Triarte r D. Manuel de la Serna ;y Ascáráte, con la gramática de la academia españolar D. Andrés .Cor'sitip de Salas,, con la ortografía de la misma: D. Tomas García, con la co lección de autores latinos de Lozano: D. Miguel Granado García, con la…</t>
  </si>
  <si>
    <t>Quintanilla, Vicente Prieto</t>
  </si>
  <si>
    <t>Vicente Prieto Quintanilla</t>
  </si>
  <si>
    <t>…de su,constan te adhesión a la augusta dinastía reinante. f -.Queriendo el Rey nuestro Señor premiar el distinguido mérito literario y servicios patrióticos en la América, del Dr. D. Vicente Prieto Quintanilla, se ha servido concederle los honores de predicador de S. M, Continuación del inventario de los instrumentos y títulos que se hallan en el archivo de procuradores. . ; . 15. Título de los oficios; c$e las corredurías de trato y contrato y mojone?</t>
  </si>
  <si>
    <t>Quintauarc, Luis</t>
  </si>
  <si>
    <t>Luis Quintauarc</t>
  </si>
  <si>
    <t>…bido superior conocimiento, el parre que.me dirige desde los Reyes (pueblo de la provincia de Va liad olid, y como 25 leguas distante de la frontera de Nueya-Galicia J el coronel; D. Luis Quintauarc,' referente á la iniquidad cometida por el indul tado Peña, de cuya presentación para recibir la Real gracia del indulto 4? tí debido parte á la superioridad de V. E. en mi oficio núm. 36 del 27 dei mes próximo pasado. Dios guarde á V. E, muchos años. Campo d…</t>
  </si>
  <si>
    <t>Quiroga, Francisco de Somoza Losada y</t>
  </si>
  <si>
    <t>Francisco de Somoza Losada y Quiroga</t>
  </si>
  <si>
    <t>…cho gremio. . 14., Escritura de aplicación y distribución de bienesfundación de me morias de misas y casar huérfanas, nombramiento de patronos y capellanes, otorgada por los Sres- D. Francisco de Somoza Losada y Quiroga, abad de S: Estéban de Rivas de Miño y D. Francisco Suarez, como testamentarios de D. Juan de Somoza Losada y Quiróga, señor de la casa de los Somozas , an te Juan Vasallo, escribano del número de esta villa, en 1de Marzo de 166&amp; 15. Varios papeles que en su…</t>
  </si>
  <si>
    <t>Quiróga, Juan de Somoza Losada y</t>
  </si>
  <si>
    <t>Juan de Somoza Losada y Quiróga</t>
  </si>
  <si>
    <t>…amiento de patronos y capellanes, otorgada por los Sres- D. Francisco de Somoza Losada y Quiroga, abad de S: Estéban de Rivas de Miño y D. Francisco Suarez, como testamentarios de D. Juan de Somoza Losada y Quiróga, señor de la casa de los Somozas , an te Juan Vasallo, escribano del número de esta villa, en 1de Marzo de 166&amp; 15. Varios papeles que en su cubierta dice: Un memorial ¡ajustado, saca do de las esculturas que .están debajo de esta cuerda, que justifican las p…</t>
  </si>
  <si>
    <t>Quiros, Diego Narciso Herranz y</t>
  </si>
  <si>
    <t>Diego Narciso Herranz y Quiros</t>
  </si>
  <si>
    <t>…ste aviso, *y de lo contrario1 les parará el perjuicio que haya lugar. \ Los suscriptores á la aritmética universal, pura, testamentaria , eclesiástica y comer cial, compuesta por D. Diego Narciso Herranz y Quiros, anunciada en el prospecto intercalado en la gaceta de 14 de Noviembre ultimo, acudirán á la librería de Gila, calle de las Carretas, á recoger el tomo segundo, que contiene las reglas de tres y de más que con ellas tienen relación, la repartición de bienes,…</t>
  </si>
  <si>
    <t>Quirós, Esteban</t>
  </si>
  <si>
    <t>Esteban Quirós</t>
  </si>
  <si>
    <t>…te García, y pasando en seguida á-los cerros del Rubí, reforzada también con otra parti da de dragones del Príncipe al mando de mi ayudante capitán graduado de dragones de Moneada D. Esteban Quirós, aprehendió un soldado de Cama rería que traía consigo á su muger, tomándoles á aquellos y á este tres fusi les, una lanza, cuatro sillas y una remonta de; 48 caballos, sin incluir los que montaban. En el acto de esta operación he hecho sacar de, un algibe á…</t>
  </si>
  <si>
    <t>Quirós, María del Rosario</t>
  </si>
  <si>
    <t>María del Rosario Quirós</t>
  </si>
  <si>
    <t>…ca en pe queño que tiene establecida; y para estimularle á que la mejore se le gratificó -con 100 rs. La señora Doña Pascuala Echaburu de Quirós presentó á nombre de su hija única Doña María del Rosario Quirós, de edad de 10 años, un bordado precioso con viñetas diversas del mejor gusto, que mereció singular aprecio de la sociedad , que acordó se haga mención honrosa de él en la jun ta pública general, regalar á la señorita con un estuchito de bordar, á elec ción d…</t>
  </si>
  <si>
    <t>Quirós, Pascuala Echaburu de</t>
  </si>
  <si>
    <t>Pascuala Echaburu de Quirós</t>
  </si>
  <si>
    <t>…o -un sombrero y una gorra de mediana calidad, que hizo en una fábrica en pe queño que tiene establecida; y para estimularle á que la mejore se le gratificó -con 100 rs. La señora Doña Pascuala Echaburu de Quirós presentó á nombre de su hija única Doña María del Rosario Quirós, de edad de 10 años, un bordado precioso con viñetas diversas del mejor gusto, que mereció singular aprecio de la sociedad , que acordó se haga mención honrosa de él en la jun ta pública general…</t>
  </si>
  <si>
    <t>R, A. F.</t>
  </si>
  <si>
    <t>A. F. R</t>
  </si>
  <si>
    <t>…n Madrid para socorrer los pueblos epidemiados. Número 385. C F, 300 rs. Núm. 386. D J. F. L. 40. Núin. 387. Don J. Y. G. y \1. P. M. roo. Núm. 388. D Pedro González 60. Núm. 389. D. A. F. R., en una letra á la vista, 500. Núm. 390 D. M. M. 20. Núme ro 391. D. C. L. 40. Núm. 392. Un señor eclesiástico 100 Núm. 393. Do ña Juana López 20. Número 394. La comunidad de Escuetas Pías de S. An tonio Abad de Madrid 320. Núm. 395. El autor y compañía cómic…</t>
  </si>
  <si>
    <t>R, C.</t>
  </si>
  <si>
    <t>C. R</t>
  </si>
  <si>
    <t>…E. E. 300. Núm. 83. D. J. IX. 60. Núm. 84. D. Josef de Urue 4 Núm. 85. D. Gregorio Sánchez Madrid iox Núm. 86. D. Y. M. M. 100. Núm. 87. D. Francisco Antonio Bringas 2©. Núm. 88. D. C. R. 20. Núm. 89. D. Manuel Guerra 200. Núm, 90. D. I. de V. 160. Núm, 91* D N. 80. Núm. 92. D. J. M. 320. Núm. 93. D. M. T. 300. Núm. 94. D. C. R. 2co. Núm". 95. D. Juan Carretero 200. Núm. 96. La Real corpo ración de capellanes de honor 6©. Núm. 97. Agueda Moren…</t>
  </si>
  <si>
    <t>…N. 20. Núm.. 232. Doña P. C. 40. Núm. 233. D. E, G. 180. 1^4111.^234^ Doña Ana M. M. 10. Núm., 235. D. N. 240. Núm. 236. D. N. 3. Númeijé £37. D. Joaquín Ibañez . 109.. Núm. 238. Doña C. R. 40.'Nú». &lt;^39. -Doíi G.rP- tGo, Núm*,240. D. Josef Mauri oo* Núm. 341. Doña Anastasia* &gt;£$*13 zaíez 160. Núm. 243. D. M. L. S. C. 300. Núm, 243. ,D. Ambrosio ;Gar¿j¿ de -la Riestra- 40. Ñúm. 244.., ;D. J. Ja P.; 40; Núm. 24 5. D. J, F.i Q, Núm. 246. El tenien…</t>
  </si>
  <si>
    <t>R, C. de A.</t>
  </si>
  <si>
    <t>C. de A. R</t>
  </si>
  <si>
    <t>…emia, con 20 rs. mensuales- Núm. 11. D. Ra fael Gúzman, por tres meses, con 10 rs. cada uno. Núm. 12. D. Eugenio Villaseñor, mientras dure la epidemia, con 6 rs. diarios. Núm. 13. Sr. C. de A. R., mientras dure la epidemia, con 100 rs. mensuales. Nú ni. 14 D. M. A., por idem., con 20 rs. ídem. Núm. 15. D Santiago Antonio de Urizar, por idem.., con 20 rs. semanales. Núm. 16. D. F. Y., por Idem, con 120 rs. mensuales. Núm; 17. D. Y. V.., por idem, con 6…</t>
  </si>
  <si>
    <t>R, F.</t>
  </si>
  <si>
    <t>F. R</t>
  </si>
  <si>
    <t>…172. D. N. 20. Núm. 173. D. Cristóbal Sorribas 4a. Núm. 174. Doña Eusebia de N. 20. Núm. 175. Doña Isabel Simón 40. Núm. 176. D. Juan Villena 40. Núm. 177. D. S. R. 300. Núm. 178. D. F. R. 30. Núm. 179. D. B. Y. 40. Núm. 180. D. P. F. 60. Núm. 181. Doña MaríaVindel, viu da, 20. Núm. 182. D. Miguel Carrera 20. Núm. 183. D. N., feligrés de San Andrés, 100. Núm. 184. D. N. 4. Núm. 185. Ei Sr. D. Josef Borbujo y Rivas, inquisidor de Toledo, en una…</t>
  </si>
  <si>
    <t>R, J.</t>
  </si>
  <si>
    <t>J. R</t>
  </si>
  <si>
    <t>…glesia primada de Toledo 60. Núm. 603. D. F. T. 360. Nú mero 604. D. N. 40. Núm. 605. El señor cura de S. Andrés de Madrid, por limosnas recibidas de dos feligresas, 30. Núm. 606. D. J. R. 24. Núm. 607, El señor teniente mayor de la parroquia de S. Luis.de,Madrid, por limosnas recibidas de sus feligreses, 160. Núm. 608. D. Pedro Picazo 20. Núm. 609. El limo. Sr. deán y cabildo de la santa iglesia catedral de Calahorra 1500. Nú mero 610. Los cue…</t>
  </si>
  <si>
    <t>…lu2®. Núm. 625. D A. 60. Núm. 626. El señor cura de S. Ginés de Madrid, por limosnas recibidas de sus feligreses, izf. Nún&gt;. 627. D. E. M. S. ico. Nú mero 628. D. N. 60. Núm. 629. Doña J. R. i.oo*--Núm. 630. D. A. M. G. 112 reales y 8 mrs. Núm. 631.^11 ílmoVSr. obrépo'i 5bo. Núm. 632. D. J P. W. 401 Nóm¿ 6331!):; J: S. 40. Núm. 634 -D; NU24. Núm. 63 5. D. F. X. L.&lt; 300. Núm. 636. El deán y cabildo de la santa iglesia metropolitana de Burgos 3®. N…</t>
  </si>
  <si>
    <t>…de su párroco ,30o. Núm. 671. E. E. S. C. de C. 500. Núm, 672. D. L. R. 20. Núm. 673. El‘Real monasterio de S. Benito de Sagunto 640. Núm. 674. D. F. S. 22 rs. y 6 mrs. Núm. 675. D. J. R. 20. Núm. 676. Un limo. Sr. obispo 320. Núm. 677. D. N. 40. Núm. 678. D. J. C. 20. Nú mero 679. Doña J. L. 40. Núm. 680. D. N. 40. Núm. 681. La compañía de actores, individuos de la,orquesta y demas dependientes del coliseo' de la Cruz de esta muy heroica Vill…</t>
  </si>
  <si>
    <t>R, L.</t>
  </si>
  <si>
    <t>L. R</t>
  </si>
  <si>
    <t>…de un recibo de intereses de va les, 18 mrs. Núm. 669. Doña I. 20. Núm. 670. Una feligresa de S. Sebastian, por mano de su párroco ,30o. Núm. 671. E. E. S. C. de C. 500. Núm, 672. D. L. R. 20. Núm. 673. El‘Real monasterio de S. Benito de Sagunto 640. Núm. 674. D. F. S. 22 rs. y 6 mrs. Núm. 675. D. J. R. 20. Núm. 676. Un limo. Sr. obispo 320. Núm. 677. D. N. 40. Núm. 678. D. J. C. 20. Nú mero 679. Doña J. L. 40. Núm. 680. D. N. 40. Núm. 681. La…</t>
  </si>
  <si>
    <t>R, M.</t>
  </si>
  <si>
    <t>M. R</t>
  </si>
  <si>
    <t>…compañía cómica del co liseo de la Cruz de esta,-corre 1500. Núm. 396. D. J. C. 20. Núm. 397. Do ña M. R. 8. Núm. 398. D. A. Z. 100. Núm. 399. Un señor eclesiástico 160. Núm. 400. Doña M. R. 80. Núin. 401. D. B. P. 40. Núm. 402. D. A. L. 120. Núm 403. D: B. J F. 120. Núm. 404. D. M. y R. óo. Núm. 403. Los señores cuestores del cuartel de Maravillas, por resto de la demanda de su cuartel, 896. Núm. 406. D. N. N. y Doña N. N. 300. Número 407. Don P…</t>
  </si>
  <si>
    <t>R, M. y</t>
  </si>
  <si>
    <t>M. y R</t>
  </si>
  <si>
    <t>…a M. R. 8. Núm. 398. D. A. Z. 100. Núm. 399. Un señor eclesiástico 160. Núm. 400. Doña M. R. 80. Núin. 401. D. B. P. 40. Núm. 402. D. A. L. 120. Núm 403. D: B. J F. 120. Núm. 404. D. M. y R. óo. Núm. 403. Los señores cuestores del cuartel de Maravillas, por resto de la demanda de su cuartel, 896. Núm. 406. D. N. N. y Doña N. N. 300. Número 407. Don Pablo Diez t 20. Núin. 408. Los testamentario^ de Doña María de los Ange les Barcenilia 1500. Núm.…</t>
  </si>
  <si>
    <t>R, R.</t>
  </si>
  <si>
    <t>R. R</t>
  </si>
  <si>
    <t>…65. D. Pedro Zavala y Espondá 360. Núme ro 366. D. C. Al. F. 320. Núm. 367. D». J. C. 40. Núm. 368. E. C. D. R. S. 320. Núm. 369 D. Y. S. 20 Núm. 370. D. A. R. de P. 40. Núm. 371, D. R. R., del comercio, 100. Núm. 372. D. C- V. D. 200. Núm. 373. Don J. D. V. 40. Núm. 374. D. M. G. 104. Núm. 375. El Excmo Sr. emba jador de Portugal 2©. Núm. 376. D' N. 320. Núm. 377. Doña M. C. M. 200. Núm. 378. D. N. 100. Num. 379* IL A.. U. 66 rs. y 18 mrs. Aíu…</t>
  </si>
  <si>
    <t>R, S.</t>
  </si>
  <si>
    <t>S. R</t>
  </si>
  <si>
    <t>…. Doña M. B. iock N úm. 172. D. N. 20. Núm. 173. D. Cristóbal Sorribas 4a. Núm. 174. Doña Eusebia de N. 20. Núm. 175. Doña Isabel Simón 40. Núm. 176. D. Juan Villena 40. Núm. 177. D. S. R. 300. Núm. 178. D. F. R. 30. Núm. 179. D. B. Y. 40. Núm. 180. D. P. F. 60. Núm. 181. Doña MaríaVindel, viu da, 20. Núm. 182. D. Miguel Carrera 20. Núm. 183. D. N., feligrés de San Andrés, 100. Núm. 184. D. N. 4. Núm. 185. Ei Sr. D. Josef Borbujo y Rivas, inqui…</t>
  </si>
  <si>
    <t>R, T.</t>
  </si>
  <si>
    <t>T. R</t>
  </si>
  <si>
    <t>…sta de los contribuyentes y sííscriptores para socorrer los pue blos afligidos con la epidemia. &lt;\ Numero 188. D. Antonio López Rico ii.,rs eon2';mrs;Númí^i89. D. N; 20. Num. 190. D. T. R. 200. Núm!, ípj. •Franciscó' Tórxes^ mwsb sirviente, de su salario,.!o. Núm. 192. Dós hermanos 60.;«Núm; &lt;N.'40. Núm. 194. Doña F.M; 16a. Núm¿ 195* BU;M&gt; A.Xs.aoo.NútíiJ¿9^* ¿D; N.y confesor, 50* Nóm. 197. D. Manuel Lopefc'de la.Peña 200. Numeito 198. D. F. C.…</t>
  </si>
  <si>
    <t>R, V.</t>
  </si>
  <si>
    <t>V. R</t>
  </si>
  <si>
    <t>…73. Don M. B. 60. Núm. 74, D. N. C. 320. Núm. 75. D. J. M. 60. Núm. 76. Don J. S. 160. Núm. 77. D. N. C. 20. Núm. 78. í). Josef Ribera 3C0. Núm'. 79. Los Sres. N. S. 800. Núm. 80. D. V. R. 20. Núm, 81. D. J. F. 100. Nú mero 82. Doñá M. E. E. 300. Núm. 83. D. J. IX. 60. Núm. 84. D. Josef de Urue 4 Núm. 85. D. Gregorio Sánchez Madrid iox Núm. 86. D. Y. M. M. 100. Núm. 87. D. Francisco Antonio Bringas 2©. Núm. 88. D. C. R. 20. Núm. 89. D. Manuel G…</t>
  </si>
  <si>
    <t>R, Y.</t>
  </si>
  <si>
    <t>Y. R</t>
  </si>
  <si>
    <t>…Excmo Sr. emba jador de Portugal 2©. Núm. 376. D' N. 320. Núm. 377. Doña M. C. M. 200. Núm. 378. D. N. 100. Num. 379* IL A.. U. 66 rs. y 18 mrs. Aíume— ro 380. D. N. 60. Núm. 381. Doña Y. R. 22 rs. y 4 mrs. Núm. 382. El Excmo. Sr. duque de Montemar 400. Núm. 383. D. J. G. D. 40. Núm. 384. D. L. A. 100. Asimismo se ha suscrito: Núm. 36. D. Francisco Perez Gaya , maestro de capilla de Avila, durante la epidemia, con 30 reales mensuales; y por el mi…</t>
  </si>
  <si>
    <t>R, Y. A.</t>
  </si>
  <si>
    <t>Y. A. R</t>
  </si>
  <si>
    <t>…portantes 1624 rs. Núm. 509. El Excmo. Sr. conde, del Montijo 320. Núni&gt;y.jo. Don N. 88 rs. y 24 mrs. Núm. 511. D. N. 110 rs. y 20 mrs. Núm. 51 2. Doña Cristina Gómez 60. Núm 513. D. Y. A. R. 60. Núm, &lt; 14. D. N. 20. Nú mero 515. D. Francisco Gracia i dignidad maestrescuela de la catedral de Cuen</t>
  </si>
  <si>
    <t>R., J. M.</t>
  </si>
  <si>
    <t>J. M. R.</t>
  </si>
  <si>
    <t>…. El limo. Sr. deán'y cabildo de la catedral de Avila 2®. Núm. 485. El alcalde mayor, cura pár roco y vecinos de la villa de Benicarló, en el reino de Valencia, 621. Nu mere) 486. D. J. M. R. y Doña Y. R. ico. Núm. 487. Un feligrés de la par roquia de S. Lorenzo de esta corte 20. Núm. 488. D. N. 500. Núm. 489. Un ayuda de cámara que fue del augusto Padre de S. M. 60. Núm. 490. ^Euge nio Gil 20. Núm. 491. El Excmo. é limo. Sr. obispo de Avila 320. Núme ro 492.…</t>
  </si>
  <si>
    <t>Ra</t>
  </si>
  <si>
    <t>…y sumiller de Cortina. PLAZAS EFECTIVAS DE LOS TRIBUNALES DEL REltfÓ. Oidores de la Real chancillería de Valladolid. A D. Pedro Antonio Arroquia, oidor de la audiencia de Galicia; D. Ra món María Moya, ministro honorario del Consejo Real de Navarra. Alcalde del Crimen de Granada. A D. Josef Francisco Morejon de León. fiscal del Crimen, de la misma. A D. Gaspar Josef de Aguilar, abogado de dicho tribunal. Fiscal del Consejo Real de Navarra. A…</t>
  </si>
  <si>
    <t>…dier del egército 80. Núm. 106. D. B. V\ 40. Para el mismo piadoso objeto se han suscrito: Núm. 10 D. Juan Lecan-r da, por el.tiempo de la epidemia, con 20 rs. mensuales- Núm. 11. D. Ra fael Gúzman, por tres meses, con 10 rs. cada uno. Núm. 12. D. Eugenio Villaseñor, mientras dure la epidemia, con 6 rs. diarios. Núm. 13. Sr. C. de A. R., mientras dure la epidemia, con 100 rs. mensuales. Nú ni. 14 D. M. A., por idem., con 20 rs. ídem. Núm. 15…</t>
  </si>
  <si>
    <t>…. Víctor Josef Marina, caballero profeso de la orden militar de Alcántara, alguacil mayor del Sto. tribunal de la Inquisición , regidor perpetuo y decano de su limo, ayuntamiento, D. Ra món López Solórzano, también regidor perpetuo y alcalde ordinario de la misma , el .capitán D. Bruno de Aeosta y Morales, alguacil mayor de la Real renta de Millones, y D. Francisco Ruano Santos, ambos jurados perpetuos,, y Di Alfonso María de Coto, su escrib…</t>
  </si>
  <si>
    <t>Ra, Antonio</t>
  </si>
  <si>
    <t>Antonio Ra</t>
  </si>
  <si>
    <t>…gual premio á D*. Juan Fernandez Auja, del pro pio puerto, por haber extraído de las entrañas del pez llamado Gata 74 arro bas de saín de primera suerte: maza y barra de hierro al Sr. D. Antonio Ra fael Oviedo y Portal, á Ramón González Vil/armil, de la parroquia derSograndió, á Domingo Martínez, dé la de Villar de Obeyó, a D. AntonioPelaez¿ de la de BasCones , á Josef Fernandez, de la de OUoniego, á D. Geróni mo Armayor , de lá de Oviñana, á Isidro Gar…</t>
  </si>
  <si>
    <t>Ra, Esteban</t>
  </si>
  <si>
    <t>Esteban Ra</t>
  </si>
  <si>
    <t>…s á los comandantes de Ajuchitlan y Iíuetamo, como efectivamente serian las doce cuando fui avisado habían llegado 100 hombres de caballería é infantería , la primera al mando del teniente D. Esteban Ra mírez/y la segunda ai'déitéñiente de Tres Villas D. josef Pina, quedán dose la tropa de su cuerpo en las trincheras, que mandába el capitán del ba tallón del,S,ur D. Hilario López, y que se me reuniese la compañía de caba llería de S. Luís y las compañías ter…</t>
  </si>
  <si>
    <t>Rada, Marcelino Antonio de</t>
  </si>
  <si>
    <t>Marcelino Antonio de Rada</t>
  </si>
  <si>
    <t>…rega de los Reales féretros á la antigua y noble guardia de los monteros de Espinosa y sus indi-* yiduos D: Pedro Manuel Sainz de' la'Maza, D. Servando Angel Gutiérrez d.e Solana, D. Marcelino Antonio de Rada, D- Bernardino del Arenal, D. Die go de Villasante, D Francisco dé la Maza, D. Anacleto de Rueda y Pon Juan Neppmuceno Cobo* , En' la ñoéhe del mismo día cantaron responsos á los Reales cadáveres loa clérigos de; iá. parroquia de. Alpagés ydos religiosos del.…</t>
  </si>
  <si>
    <t>Raez, Francisco de Paula</t>
  </si>
  <si>
    <t>Francisco de Paula Raez</t>
  </si>
  <si>
    <t>…ircas4, vacañte por; promoción de D. Manuel Josef de Reyes á regente de la misma, i D. Mateo Mágariños ;! yapara el’empleó' dé teniente asesor de la Paz en eí vireinato del Perú á D. Francisco de Paula Raez. En consideración á los, particulares méritos y servicios ’ del’ conde de San Fernando de Peñalver, y á los de sus ascendientes, se ha dignado S. M. con cederle lá ilaye de gentilhombre de Cámara con entrada. c .* . El Rey. nuestro Señor se ha dignado concede…</t>
  </si>
  <si>
    <t>Rafael</t>
  </si>
  <si>
    <t>…, y robado el ganado. de sus vecinos, dispuso el capital* D. Josef Peres*, del regimiento, de. Nueva- España., que le mandaba aec iden^ talmente, que el teniente del. mismpcuerpo D. Rafael -Silva y, e;P alfc/ez. de fieles D. Pablo Jaso con 2 5. infantes ¡y ,20 caballos Jos persiguiesen j ‘-y (fia efec-ito: lograrpn represar 80 cabe*aát de ganado, que-se ÍlevabanrTos-rebeldes» y; li? bertár á un paisano que iba,presor matatido 2 de la gavilia,,…</t>
  </si>
  <si>
    <t>Rafter</t>
  </si>
  <si>
    <t>…smo á desembarcar dentro de media hora; pero lejos de hacer esto mandó picar cables,..y se hizo á la vela, dejando á los que es taban en tierra á merced de su suerte r Entonces él coronel Rafter tuvo que -rendirse, y la victoria de los españoles fue completa. ,, Adjunta es la lista de los oficiales (ingleses que se hallan comprendidos en el numero de los muertos, heridos, prisioneros ó extraviados. ,,Muertos: el coronel O’Haralos capitanes Márgate y…</t>
  </si>
  <si>
    <t>Ralfes, Juan</t>
  </si>
  <si>
    <t>Juan Ralfes</t>
  </si>
  <si>
    <t>…ontribución; teniendo ademas el ajuste separado con cuatro eclesiásticos y un convento de reli giosas carmelitas. Doña María Felipa Ralfes solicita saber el paradero de su hermano D. Juan Ralfes, que en el año de 178 ¿ pasó á la América en un regimiento de infantería. La per sona que tuviese noticia cierta de dicho D. Juan, ya sea muerto ó vivo, se servirá comunicarla á la referida Doña Felipa, que reside en Valencia, casada con el capitán D. Pedro A…</t>
  </si>
  <si>
    <t>Ralfes, María Felipa</t>
  </si>
  <si>
    <t>María Felipa Ralfes</t>
  </si>
  <si>
    <t>…te con el profesor, á quien se da casa de balde, y será libre de contribución; teniendo ademas el ajuste separado con cuatro eclesiásticos y un convento de reli giosas carmelitas. Doña María Felipa Ralfes solicita saber el paradero de su hermano D. Juan Ralfes, que en el año de 178 ¿ pasó á la América en un regimiento de infantería. La per sona que tuviese noticia cierta de dicho D. Juan, ya sea muerto ó vivo, se servirá comunicarla á la referida Doña Felipa,…</t>
  </si>
  <si>
    <t>Ramí, Francisco Ramosy</t>
  </si>
  <si>
    <t>Francisco Ramosy Ramí</t>
  </si>
  <si>
    <t>…Estoá almbnós "fúéroh premiados con obras selectas de latinidad a juicio de los señores c^isdrés : también lo fueron én la escuela •de primeras-letras del Real hospicio su maestro D. Francisco Ramosy Ramí rez, y sus alumnos internos y -externosjuan Molina, Juan de'Dios, Juan deCastro, Tuis íLan¿as, Sántos Lázaró, Juan Francisco Hernández, Antonio IDiazi Antamo Tókeá, Etifrasió Petéis y júarl' -Ftanciscb Perez. Dé la escuela de D. Ildefonso Eerháfidék;T^3préitt…</t>
  </si>
  <si>
    <t>Ramírez, Alejandro</t>
  </si>
  <si>
    <t>Alejandro Ramírez</t>
  </si>
  <si>
    <t>…ida esa isla. : : ,,Dios guarde á V. S. muchos años. Guatemala 10 de Febrero de 1819. =s Carlos de Urrutia.=:Sr. intendente general- de egército y Real Hacienda de la isla de Cuba D. Alejandro Ramírez,” ; ' Contraía. A consecuencia de lo que el consulado contentó á V.. E. .en 14 de Enero inmediato sobre, la navegación del fiordé Motagua, han venido, á esta capital D. Francisco Gas tejón, D. Joaquín Ferro, D. Juan Rea y Don Francisco Campos, vecinos del pue…</t>
  </si>
  <si>
    <t>Ramírez, Calixto</t>
  </si>
  <si>
    <t>Calixto Ramírez</t>
  </si>
  <si>
    <t>…lián Nieves, natural de S. Francisco de Tiznados. Fue confirmado en su empleo de capitán; obtuvo la nobleza personal, y ascendió al grado de íeniente coronel de cáballéríá.. ' . • D. Calixto Ramírez, natural de Maracaibo. Fue'confirmado en su empleo de capitán; se le dió; la nobleza personal, y el grado de teniente^ coronel en el , ( . &gt; eo t . /batallón de Barinas'donde sirve. :&gt; 1y Milicias de pardos de Valencia. Capitanes. D. Ramón Hidalgo, Don Casimi…</t>
  </si>
  <si>
    <t>Ramírez, Francisco</t>
  </si>
  <si>
    <t>Francisco Ramírez</t>
  </si>
  <si>
    <t>…nadores y el profesor , y desatáronlas: dificultades que les opusieron. En los'dias 4, 8 y 9 leyeron sus disertaciones ;E). Josef Gorria, D. Joa quín García Saenz, D. Luis Tentor, D. Francisco Ramírez, D. Antonio Pi queras y D. Ramón Pacanins sobre la teoría de fracciones , fracciones deci males, números complexos , razones, proporciones y progresiones , regla de tres , aplicaciones de ella á las operaciones de comercio , descuento adentro y afuera&gt; tara,…</t>
  </si>
  <si>
    <t>Ramírez, Francisco María</t>
  </si>
  <si>
    <t>Francisco María Ramírez</t>
  </si>
  <si>
    <t>…r renuncia de D. Manuel Genaro de Villota, á. D_ Manuel Josef de Reyes, oidor decano de ía misma audiencia: para la canongía penitenciaria de la santa iglesia catedral de Oajaca á Don Francisco María Ramírez, de Aguila*: para la canongía magistral de la santa iglesia metropolitana de Guatemala al Dr. D. Antonio Croque*; y para la dignidad de arcediano de la catedral de Durango, vacante por fallecimiento de D. Josef ManueL de Esquive!, á D. Vicente Simón González…</t>
  </si>
  <si>
    <t>Ramírez, Josef Antonio</t>
  </si>
  <si>
    <t>Josef Antonio Ramírez</t>
  </si>
  <si>
    <t>…de Cumand. D. Josef León Gómez. La nobleza per sonal.'' Capitán de milicias de artillería de&gt; Puerto-Cabello. D. Faustino Car ees. La nobleza personal. / Guerrillas de Camatagua. D. Josef Antonio Ramírez, D. DomingoTason. Confirmados en sus empleos de capitanes, y la nobleza personal»</t>
  </si>
  <si>
    <t>Ramírez, Manuel</t>
  </si>
  <si>
    <t>Manuel Ramírez</t>
  </si>
  <si>
    <t>…confirmó en su empleo, y se le concedió el Don personal. Campo -volante de Orituco. D. Raimundo Marqües. Fue confirmado en su empleo de capítan, y se le concedió el Don personal. D. Manuel Ramírez. Confirmación de capitán; Don personal, y medalla de oro. Escuadrones del Rey. D. Juan Basilio Castillo,naturalde GuardatinaJas. Confirmado de capitán; Don personal, y medalla de oro. Guerrillas de Ortizy Parapára. ' jy. JoseF María Requena, natural de S. Jua…</t>
  </si>
  <si>
    <t>Ramiro, Júáp Bautista</t>
  </si>
  <si>
    <t>Júáp Bautista Ramiro</t>
  </si>
  <si>
    <t>…-, • * . . .. cuela Dv Fííetoyji mano del séñdr -intendente hiédáltó dé Aplata yliforosde sii despectiva éhtfeñaaza. JErt lá ésc'úéíadédibujo sedióct rtítúkj’déí-sóéio fáitímno rá D. Júáp Bautista Ramiro, y la bbr'a DiGcibnarib de Jos profesores .espártales enlas tres nobles artes; otro igual título á D. Mariano Carrasco, y las Cartas fisico matemáticas del *P. Almeida., y á D. Juan de Dios Carazo se le premió con una medalla dé oropesode fnédiá ónzapof los d…</t>
  </si>
  <si>
    <t>Ramiro, Pedro</t>
  </si>
  <si>
    <t>Pedro Ramiro</t>
  </si>
  <si>
    <t>…sidente .de Ja .sociedad, presidió el.actof el Excmo. Sr. «duque del Parque, director de ella, y se presentaron para ser examinados Jos «discípulos D. ^Antonio Fernandez Alvarez , D. Pedro Ramiro de la Cuesta y Cortés, D. ¿Nicolás Arias, D Josef Salcedo, D. Diego Xaplana , D. Juan Manuel Díaz, D.Josef A gudo Fernandez y D. ¿Francisco Drsolino; los cuales después de sorteado el orden con ;que débianaetüar, manifesr taran sobre el «encerado Ja parte teó…</t>
  </si>
  <si>
    <t>Ramón</t>
  </si>
  <si>
    <t>…uerta 'Francisco Gutiérrez. El 6 y 7 recorrí por Tecacho y Chucándiro, y el 8 me dirigí hácia Puruándiro, y dividiendo en varios trozos mi caballería, logré aprehender al titulado coronel Ramón Del gado, un capitán de la gavilla de Lucas Florez y otros dos rebeldes, matando en el alcance al titulado coronel Aldama. El 9, marché por la hacienda de Sera no á la Calera, y en la noche se aprehendió otro rebelde. El tq permanecí en .dicha hacienda, y el 11 m…</t>
  </si>
  <si>
    <t>…-.Cotegio rnayorde Sta, Cruz del gran carde nal de España, en da Real universidad dé Vaíladolíd, hacemos saber á todos los que el presente édiotqívíeren ¿que por-.nombramiento deí Sr. D. Ramón dé Azpeytia Saenz de Sta. María, colegial de esta santa casa, para el obispado de Tu déla , se halla vacante la beca teóloga que obtenía, cuya\ provisión nos cor responde. Y para hacerla con arreglo á constituciones y ¡Reales^ órdenes con-; vocamos á cuantos…</t>
  </si>
  <si>
    <t>Ramón, Juan</t>
  </si>
  <si>
    <t>Juan Ramón</t>
  </si>
  <si>
    <t>…omé de Ibárrola. Idem de Astete, primero á D. Vicente de Artiñano. Fá bulas de Samaniego, primero á D. Federico de Victoria. Dibujo, primero á D. Francisco Semprun. Idem segundo á D. Juan Ramón. Paternina. Idem ter cero á D. Pedro Bergé. Gramática castellana, primero á D. Josef Fernandez Molina. Idem segundo á D. Gregorio de Olaeta. Gramática francesa, prime ro á D. Miguel de Mazarredo. Idem segundo á D. Francisco Semprun. Gra-* mática.latina, prime…</t>
  </si>
  <si>
    <t>Ramón, Miguel</t>
  </si>
  <si>
    <t>Miguel Ramón</t>
  </si>
  <si>
    <t>…1818.=s.Ex— celemí simo Sr.= Pió María Ruiz. = Excmo. Sr. virey D. Juan Ruiz de Apodaca. * Veg a de Espinareda (provincia del Vierzo) 20 de Enero. Habrá como dos meses y medio que D. Miguel Ramón, cirujano titular de esta villa, fue llamado para visitar á D. Andrés Osorio, de edad de 22 años, hijo de D. Josef, vecino de Cabañas de la Dornilla, que 32 dias hacia estaba padeciendo fuertes dolores en la región epigástrica, igualmente que en la umbilical…</t>
  </si>
  <si>
    <t>Ramon, Miguel</t>
  </si>
  <si>
    <t>Miguel Ramon</t>
  </si>
  <si>
    <t>…O DE- * OFICIO,■ ' &gt;'•’ '■ ■ &gt; i'•?A . RTi IGV ."¡r.¡í7'üli S. M. se ha servida nombrar pata'; dos plazas de, oidores de la Real au diencia de Valencia, vacantes por promoción de D. Miguel Ramon: Modet y D. Ramón Macía Lleoparf, a D. V ícente .Borja , alcalde del crimen, de la misma, y á D. Dalmacio Alpuente, fiscal de U*. civil del propio tribunal: para esta plaza á D. Josef Ayuso y Navarro, que lo es del crimen de la mis ma; y para esta resulta á D…</t>
  </si>
  <si>
    <t>Ramos, Antonio</t>
  </si>
  <si>
    <t>Antonio Ramos</t>
  </si>
  <si>
    <t>1036 I , . . de capítan; se le confirió la nobleza personal, y ascendió á comandante del escuadrón del Sombrero y Barbacoas;" : ; •. j: j¡. D. Antonio Ramos, natural5del Guáyabal; Fue confirmado en su empleo de capitaft de caballería; sede concédid lá nóbleza personal; la medalla de oro coronada con el busto de S. M. , y ha sido ascendido á comandante del es cuadrón del Guayabal. D. Felipe Ramos, hermano del ante…</t>
  </si>
  <si>
    <t>Ramos, Felipe</t>
  </si>
  <si>
    <t>Felipe Ramos</t>
  </si>
  <si>
    <t>…pleo de capitaft de caballería; sede concédid lá nóbleza personal; la medalla de oro coronada con el busto de S. M. , y ha sido ascendido á comandante del es cuadrón del Guayabal. D. Felipe Ramos, hermano del anterior. Fue confirmado en el empleo de capitán de caballería; se le dio la nobleza personal; la medalla de oro, y as cendió al grado de Ttememe* coronel. * ' D. Juan Josef Cruces , natural del Pao. $e le concedió la nobleza perso nal; la medall…</t>
  </si>
  <si>
    <t>Rampon</t>
  </si>
  <si>
    <t>…, consejero de Estado, y ministro plenipotenciario cerca de la Santa Sede, al conde Reilie, teniente general, al conde Ruppy, teniente general, al conde Rapp, teniente general, al conde Rampon , al teniente gene ral conde de Sparre, á nuestro primo el marques de S. Simón, mariscal de campo, al conde de Sussy, á nuestro primo el mariscal duque de Treviso, al marques de Talhuet, mariscal de campo, y coronel del 2.° regimiento de los granaderos de á c…</t>
  </si>
  <si>
    <t>Ramsay</t>
  </si>
  <si>
    <t>…ta córte, y ha hecho su viage por el mar Rojo a Egipto, y de allí a Europa. Parece de edad de 36 años, es alto, de aspecto noble y grave, y esta vestido a lo persa* Le acompaña el doctor Ramsay, sirviéndole de interprete. Luego que se des ayunó S.E. en Ramsgate salió para esta capital, adonde parece que desea llegar con impaciencia. Idem 12. Cuando el archiduque Maximiliano fue á ver la fábrica de cordelería en el astillero Real en Portsmouth estuvo…</t>
  </si>
  <si>
    <t>Ranerio</t>
  </si>
  <si>
    <t>…á toda veía. Se dice que ha costado este buque 60© duros. i, - . • “■ ;au$triá. ■; ; Yicna 27 de Octubre. , Vuelve á decirse que se celebrará muy en breve el matrimonio del Archi* duque Ranerio con-la hija segunda del Rey de Cer-dena, • " ' * Nada se sabe aquí de la próxima venida del Emperador de Rusia á esta capital; y sin embargo de que la mayor parte de los periódicos extranjeros la anuncian como cosa indudable, nos parece inverosímil*, porque n…</t>
  </si>
  <si>
    <t>Rapp</t>
  </si>
  <si>
    <t>…t de la Lozere, al conde Portalis, consejero de Estado, y ministro plenipotenciario cerca de la Santa Sede, al conde Reilie, teniente general, al conde Ruppy, teniente general, al conde Rapp, teniente general, al conde Rampon , al teniente gene ral conde de Sparre, á nuestro primo el marques de S. Simón, mariscal de campo, al conde de Sussy, á nuestro primo el mariscal duque de Treviso, al marques de Talhuet, mariscal de campo, y coronel del 2.°…</t>
  </si>
  <si>
    <t>Rarnon</t>
  </si>
  <si>
    <t>…na casa-mesón perteneciente í de Aivdrade, vecino que fue de la, villa dp Ajavaca., cual se halla, stta en la plaza cié díeba" villa , linde conAólarés de la misma y jabonerías dé D. Rarnon de ^ngulo, tasada toda ella en 73*3^2 rs., y dicha mitad en 36,696 rs. El qué quiéra' hacer postuta ácuda al juzgado de- dicha señor- alcalde y citada escribanía de provincia, que se le admitirá siendo arreglada; en la inteligencia de que-se halla señalado pa…</t>
  </si>
  <si>
    <t>Raut, Jüan</t>
  </si>
  <si>
    <t>Jüan Raut</t>
  </si>
  <si>
    <t>…éíayoj párroco de Pi.nptepa d.el/Rey\ en aquel obispado; y ¡para’la cano’ngía' ele,l^colegiaiavde Gpadalup^'dftMéxico^ vacante porfaJlecips^rito,de í&gt;, Antonio j\relasco Ramírez,á D. Jüan Raut ista Arechederreta: , Asimismo se ha dignado S. M. nombrar paira da jplazíá de oidor de la Real audiencia de Sta. Fe, vacante por fallecimiento de D. Miguel Novas, á Don Josef del Barrio: para.otra plaza de oidor de la Real -audiencia dé Ghíircas4, vacañte po…</t>
  </si>
  <si>
    <t>Raya, Juan</t>
  </si>
  <si>
    <t>Juan Raya</t>
  </si>
  <si>
    <t>…uien quisiere hacer mejora acu da ante el Sr. D. Manuel Josef Rubio, del Consejo de S. M., teniente corregidor de esta muy heroica villa, por la escribanía de su número que egerce D. Juan Raya; y está señalado para el remate el dia 30 del presente mes á las i 2 y media en la au diencia del mismo señor. ; HC&gt;. Anselmo Montero, vecino de Huermeces, de la provincia y arzobispado dq Burgos, desea poner en noticia de D. Fernando Montero Pueyo y Arismend…</t>
  </si>
  <si>
    <t>…l corriente á las doce en la, audiencia.del Sr D. Manuel Josqf Rubio i del-Consejo de S. M,, teniente corregidor de esta muy heroica villa., por la escribanía de número que egerce D. Juan Raya. ( , • ;.. En virtud de providencia de. los Sres. dél Consejo de 25 de Febrero próximo, mandada guardar y cumplir por el señor alcalde de Casa y Corte D. Martin de Gráztañaga, se ha mandado se publique por ocho dias mas la venta en pública subasta dé 175 fane…</t>
  </si>
  <si>
    <t>…, á las doce y me dia, en la audiencia del Sr. E&gt;. Angel Fernandez de los Ríos, del Consejo de S. M.* teniente corregidor de esta muy heroica villa, ante el escribano de su número Don Juan Raya. ^ Por providencia del Sr. EX Manuel Josef Rubio, del Consejo de S. M., teniente de corregidor de ésta muy heroica villa, y por la escribanía del número de D. Tomas de Sancha y Prado, se vende á voluntad de su dueño una casa sita en esta corte , y fu calle de…</t>
  </si>
  <si>
    <t>…uien quisiere hacer postura acuda ante el Sr. D. Manuel Josef Rubio, del Consejo de S. M., teniente corregidor de esta muy heroica villa, por la escribanía de su número que egerce D. Juan Raya, y está se ñalado para su remate el dk 14 de Abril próximo en la audiencia de dicho señor. Se llama á los parientes mas inmediatos que tengan derecho á la herencia de Ven tura Biorlegui, maestro de obra prima que fue en esta corte, natural de la ciudad de Log…</t>
  </si>
  <si>
    <t>…en pasta. En virtud dé providencia del Sr. D. Manuel Josef Rubio,, dél Consejo de S. M.,‘ teniente corregidor de esta muy' héroica.vfila, por la escribanía de su número que egerce D. Juan Raya, se vende una casa sita en esta corte, y sus calles de S. Juan la nueva, ddl Acuerdo y de S. Hermenegildo, señalada con el núm. 8 de la manz. 528, con 18,414 pies, tasada en 136,275 rs.: otra en las calles de la Cruz del Espíritu San to y de S. Vicente de est…</t>
  </si>
  <si>
    <t>…egadas de Córreos. ' Por providencia del Sr. D. Manuel Josef Rubio, del Consejo de S. M., tenien te corregidor de esta muy heroica villa, por la escribanía de su número que egerca D. Juan Raya , se venden unas casas principales de que se dió aviso en el diario de 24 de Marzo del corriente año consistentes en esta córte y sus calles del Olivar y del Calvario, señaladas con. los números 1 y 4 de la manz. 40, que tienen 12152 pies y medio/y la tasa úl…</t>
  </si>
  <si>
    <t>…reglada. . En virtud de providencia del Sr. D. Manuel Josef Rubio, del Consejo de S. M., teniente corregidor de esta muy heroica villa, y por la escribanía de su numero que egerce D. Juan Raya» se vende una casa sita en esta corte, y su calle de la Esgri ma, esquina á la de la Espada, señalada con el m'im. i.° de la manz. 55 / tasada en 39 264 rs. Quien quisiere hacer posfuria acuda ante dicho señor juez y citada escribanía. Por disposición del Rea…</t>
  </si>
  <si>
    <t>…n siendo arregladas. Por providencia del Sr. D. Manuel Josef Rubio, del Consejo, de S. M.^teniente corregidor de esta muy heroica villa, por la escribanía de su núm.ero que egerce Don Juan Raya, se vende una casa sita en la villa* de Rejas, á la salida del pueblo» y ca mino que llaman del Lavadero, tasada en 13$ rs., y una érá de paivtrillar sita en el mismo pueblo, tasada en-500 rs., ambas fincas pertenecientes á las testamentaría^ de Cayetano Moti…</t>
  </si>
  <si>
    <t>…Real Casa y Corte. Por providencia del Sr. D. Manuel Josef Rubio, del Consejo de S. M., tenien te corregidor de esta muy heroica villa, y por la escribanía de su npmero que egerce D. Juan Raya, se vende una casa sita en esta corte y su calle de la Esgrima, es quina á la de la Espada, señalada con el número i.° de la manz. 55 , tasada en 39,264 rs.; dan por ella 27© en metálico. Quien quisiere hacer mejora acuda ante dicho se ñor juez y citada escri…</t>
  </si>
  <si>
    <t>…n siendo arregladas. Por providencia del Sr; D. Manuel Josef Rubio, del'Consejo de S. M., tenien te corregidor de esta muy heroica villa* por la escribanía de su húmero que egerce D. Juan Raya,1 se venden unas’casas principales de que se dio aviso en el diario de. 24 de Marzo del corriente año, consistentes en esta corte y sus calles del -Olivar ydel Calvario, señaladas con los números,! y 4 de ta manz. 40, que tienen 12151 pies y medio, y la tasa…</t>
  </si>
  <si>
    <t>…n siendo arregladas. Por providencia del Sr. D. Manuel Josef Rubio, del Consejo de S. M., tenien te corregidor de esta muy heroica villa, por la escribanía de su número que egerce D. Juan Raya, se vende una casa sita en esta corte, y su calle del Baño, señalad*, con el número 10 de la manz. 218, tasada en 2 86,568 rs. Quien quisiere hacer pos tura acuda ante dicho señor juez y citada escribanía; y está señalado para su remato el dia 20 de este mes,…</t>
  </si>
  <si>
    <t>…alguno á consolidar. Por providencia del Sr. D.-Manuel Josef Rubio, del Consejo de S. M-, teniente corregidor de esta muy heroica villa, por la escribanía de su numero que egerce Don Juan Raya, se venden dos casas consistentes en está corte y sus calles dei Olivar y del Calvario, señaladas con los núnu. i y 4 de la manz. 40, que tienen 12152^ pies, tasadas en 793.880.1s. vn., que tienen de cargáá 454,405 ré. y 17 mrs. de capital: se</t>
  </si>
  <si>
    <t>…citada]escribanía. Por providencia del Sr. D. Manuel Josef Rubio , del Consejo de S. M.-, tenien te corregidor de esta muy heroica villa, por la escribanía de su numero que egérce D. Juan Raya, se vende una casa sita en la calle de la Cabeza, señalada con el nú mero 13 de la manz. 8, que contiene 1115 pies y medio, y se ha tasado en. 53,097 rs., y ademas en 2500 el pozo de aguas claras, teniendo de cargas 43,200^5. Quien quisiere hacer postura acud…</t>
  </si>
  <si>
    <t>…n quisiere hacer mejora acuda an te el Sr. D. Manuel Josef Rubio, del Consejó de S. M. , teniente corregidor de esta’ muy heroica víUaj, por&lt; la escribanía de su número que egerce D. Juan Raya yyestá't señalado para su remate el dia 21 del corriente, á las 12 , en la audiencia del mismo señor. En los autos, núm. 197 del año pasado de 1805 , pendientes ¡ante el Real tribu nal del consulado de Cádiz, y. escribanía de D. Elias Izquierdo y Payan, se ha…</t>
  </si>
  <si>
    <t>…n quisiere hacer mejora acuda ante ^1 Sr. D. Manuel Josef Rubio, del Consejo dé S. M.\, tenierite corregidor de esta muy heroica villa, y por la escribanía de su número que egerce D. Juan Raya; y está señalado pairaf el re rúate el dia 27 del corriente, á las n , en la audiencia del mismo señor. - Por decreto' de ios Sres. del Cotiseijb dé Castilla y su sala de provincia sé ha* mandado sacar á subasta por ocho dias dos escrituras dé imposición en l…</t>
  </si>
  <si>
    <t>…hacer postura acuda ante el Sr. D. Angel Fernandez de los Ríos, del Consejo de $ M.&gt; teniente corregidor de esta muy heroica villa , y por la escriban nía de su número que egerce D. Juan Raya. ' r - * , o ¡ Por providencia del Sr D. Josef 'Cavanillés”, del Conséjóbtíé S. M , alcalde deéanó de su Real asa y Corte , se Hace sabér que para pagar a sus acreedores y. rein tegrar á sus mayorazgos el valor de íak fincas enagenadas con Real licencia, prop…</t>
  </si>
  <si>
    <t>…ia 30 del corriente, á las 12, en la audiencia del Sr. D. Manuel Josef Rubio, del Consejo de S. M-, teniente corregidor de esta muy heroica villa, ante él escriba no de su niimero D. Juan Raya. En virtud de providencia de Sr. D. Martin de Gaztañaga, del Consejo da S. M.#&gt; su alcalde de Casa y Corte, autorizada del escribano de provincia y. comisiones de la misma D. Manuel López de Rivas, se ha mandado sacar á míé.va subasta, por no haberse podido v…</t>
  </si>
  <si>
    <t>…en quisiere hacer mejora acuda ante el Sr. D. Manuel Jostf Rubio, del Con cejo de S. M., teniente corregidor de esta muy heroica villa, y por ia escribanía de su número que egerce D. Juan Raya, y está señalado para su remate eLdiag de Noviembre próximo, a las 12 , en la audiencia del mismo Señor. ; F.11 virtud de providencia del Sr. D. Angel Fernandez de los Ríos» del Consejo .de S. M., teniente de corregidor de esta muy heroica villa, y por la esc…</t>
  </si>
  <si>
    <t>…el dia 30 de este mes, á Jas nueve, en la posada del Sr.'D. Manuel Josef Rubio, del Consejo de S. M,, teniente corregidor de esta muy heroica villa, ante el escribano de su número D. Juan Raya. En virtud de providencia del Sr. D. Ramón Satúe, del Consejo de S. M., su al calde de Casa y Corte, se cita, llama y emplaza á Josef Rodríguez , hijo legítimo de D. Lorenzo Rodríguez y de Doña Hemeteria Celedonia Sanz,difuntos,que fueron ve cinos del Real si…</t>
  </si>
  <si>
    <t>Re</t>
  </si>
  <si>
    <t>…tos y otras armas. •.-•••* - ... &gt; :; d.K?. , jLa utilidad de esta expedición, y el terreno y tiempo en que se egecutd*. sotrmotivos para recomendar á V. E. muy particularmente al capitán Re guera que la ha mandado, á cuyo zelo y actividad debe esta provincia ven tajas muy considerables , y á los oficiales que menciona en su parte, particu^larmente al portaguión D. Josef Casado &gt; que sé ha distinguido muchas veces por su valor y buena disposición…</t>
  </si>
  <si>
    <t>Re, Hermenegiidb</t>
  </si>
  <si>
    <t>Hermenegiidb Re</t>
  </si>
  <si>
    <t>…comandante general mariscal de campo D. Josef de la Cruz. ' ■ . ,,Excmo. Sr.: Paso á manos de V. E. para su debido superior conoci miento el parte -original qué me ha dirigido el coronel D. Hermenegiidb Re vuelta, comandante militar de Lagos, relativo á la correría que acaba de egecutar por los Altos de Ibarra, puntos pertenecientes á la provincia de Guanajuato. i ^ „Dios guarde á V. E. muchos anos. Guadalajara Mayo 25 de 1818. == Excmo. Sr. =Josef de la Cruz.…</t>
  </si>
  <si>
    <t>Rea, Juan</t>
  </si>
  <si>
    <t>Juan Rea</t>
  </si>
  <si>
    <t>…ia de lo que el consulado contentó á V.. E. .en 14 de Enero inmediato sobre, la navegación del fiordé Motagua, han venido, á esta capital D. Francisco Gas tejón, D. Joaquín Ferro, D. Juan Rea y Don Francisco Campos, vecinos del pueblo de. Gualan, á tratar de los pormenores pon-cernientes al proyecto^en Su parte mercantil, y han quedado expresamente ajustados con. este cuerpo y por medio de una-compañía de dichos sugetps, en los términ'osf'Siguientes:'' ■&gt;&lt; ¡ . ¿ •• , .…</t>
  </si>
  <si>
    <t>Reai</t>
  </si>
  <si>
    <t>…v . ’ _ REAL BE Mí ÑAS DE PASCO. Se han recibido en esta superioridad noticias oficiales muy satisfactorias! del lisonjero aspecto que presentan aquellas minas. La exposición del juez Reai subdelegado de aquel partido de 24 ae Octubre anterior es bastante dilatada, y comprende varios objetos relativos *al estado y fomento de tan interesante ■trabajo : de ellai se ha sacado el sicuiente extracto. ~ ■ ú : •y. Son tan rápidos como admirables' los…</t>
  </si>
  <si>
    <t>Real, Francisco de Longa'por</t>
  </si>
  <si>
    <t>Francisco de Longa'por Real</t>
  </si>
  <si>
    <t>láclon con la causa mandada formar al mariscal de campó D. Francisco de Longa'por Real orden de 22 de Febrero último, de resultas del proceso for mado á D¿ Ventura Oñez de Vergara, teniente del extinguido regimiento de infantería primero de Iberia, se ha servidd S. M. declarar injustas, calumnio sas y falsas las delaciones presentadas por el D.…</t>
  </si>
  <si>
    <t>Rebo, Rafael</t>
  </si>
  <si>
    <t>Rafael Rebo</t>
  </si>
  <si>
    <t>…iglesia parroquial de Sta. María , en cuya ca pilla mayor estaba colocado un'suntuoso túmulo. Se hicieron gpn la\ mayor solemnidad las honras., y pronunció lál Oración fúnebre Fr. D. Rafael Rebo llo Viicaiiió y cura priorídi la parroquia de Strff Qúiteriá dé lá^eXpresadá vi lla;, qúien hizd ver las esclárécidas virtudes qiié adornaban á lá augusta Reina] y la gran pérdida que su;'temprana muerte había causado á la nación. Cbncluidas las exequiasy des…</t>
  </si>
  <si>
    <t>Rebollo, Vicente Pedro</t>
  </si>
  <si>
    <t>Vicente Pedro Rebollo</t>
  </si>
  <si>
    <t>…e la de Asturias. , ^ A D. Andrés Josef Amat y Robles, corregidor de Alearaz. í De' la de Aragón. A D. Fernando María López Sagredo, corregidor de Trujillo. v De la de Valencia. A D. Vicente Pedro Rebollo, corregidor de Orense. De la de Extremadura. A D. Juan María Ruano , corregidor de Chinchilla. Honores de oidor de Canarias. A D.-Josef Antonio Morales , alcalde mayor de la Laguna , capital dé Tenerife. • Secretarios del R’sir con egereicio de decretos. - A…</t>
  </si>
  <si>
    <t>Recacho, Juan Josef</t>
  </si>
  <si>
    <t>Juan Josef Recacho</t>
  </si>
  <si>
    <t>…co Xavier Manzanos á regente de la de Quito, á D. Nicolás Arana jCalbache: parada plaza de oidor de la Real audiencia de México, vacante por traslación de D. Miguel Ramón Modet, i D. Juan Josef Recacho: para Ja fiscalía del crimen de .la Real, audiencia.de Quito, vacante por ascenso de D. Vicente Rodríguez Romano á -la.-déalcalde del crimen de la de Lima, á D. Eugenio. Batanero: para la iplaz'ade gsesor del gobierno é intendencia de Qúamanga á D-. Mariauo J…</t>
  </si>
  <si>
    <t>Reding</t>
  </si>
  <si>
    <t>…ta plaza el Excmo. Sr. Don Carlos España. A impulsos también de su zelo se están construyendo en el ce menterio rural una hermosa capilla y un monumento sepulcral á la memoria del general Reding. Ultimamente, se está concluyendo el palacio arzobispal, obra de muy Ljuen gusto. Aunque el comercio constituye la principal ocupación de estos habitantes, no por eso están descuidadas las letraís y las artes, antes bien se nota bastante afición á ellas, acre…</t>
  </si>
  <si>
    <t>Redro</t>
  </si>
  <si>
    <t>…ecesores. Acabada la lectura de la memoria se procedió á publicar y distribuí t Ibs preinios por el segundo «di rector; y fueron adjudicados en latinidad á T&gt;. francisco Herrador, D. Redro •Pascual Anguita, D. Antonio Martinezj í). Antohio dé Toares, D. Antonio Castillo , D. Martin deTJbéda, D. Rafael de Almagró, D¿ Ramón de Óríiz, D. Josef Cañada, D. Sacerdote Aguilar, D. Agustín de Ortega, D. Pedro Panas y Di Josef Guerrero por'la instrucción…</t>
  </si>
  <si>
    <t>…ia la ciudad de Vitoria, representada por D. Raimundo Ettenhard y Salinas, del Consejo de S. M. en el de la suprema, y general Inquisición , y el brigadier de los Reales egércitos D. Redro de la Cuesta; el primero dijo: SkSor : ,,La M. Nv y M. L.'eiudad de Vitoria, cabeza de la provincia de Alava, noblemente orgullosa por haberla cabido la feliz su.erte de haber sido la pri mera ciudad del reino que ha tenido la honra de rendir en su recinto lo…</t>
  </si>
  <si>
    <t>Regañón, Santiago López</t>
  </si>
  <si>
    <t>Santiago López Regañón</t>
  </si>
  <si>
    <t>…, capitán general de los Reales egércitos, y caballero gran cruz de la orden española de Cárlos iii ; D. Josef Fernandez Henarejos, comisario de guerra de los Reales egércitos , y D. Santiago López Regañón, teniente de fragata de la Real armada, individuos de la diputación general de los reinos, en representación de esta; D. Josef Manuel de Arjona, corregidor de la muy heroica villa de Madrid, del Consejo de S. M., y su ministro togado en el supremo de la Guerr…</t>
  </si>
  <si>
    <t>Regas, Antonio</t>
  </si>
  <si>
    <t>Antonio Regas</t>
  </si>
  <si>
    <t>…Andrés Herrarte.^ Correcciones al trillo in ventado por D. Juan Alvarez Guerra, egecutadas por D. Juan Francisco Gutiér rez. = Descripción y diseño de una sembradera inventada por D. Antonio Regas. zz Estos tres trataditos, premiados y publicados por la¡ Real sociedad, ecohófiiiéa de" Valladolid ^ proporcionan al labrador la mayor economía y otras incalculables ven tajas eñ las principales labores de que tratan, como lo tiene acreditado lá experiencia…</t>
  </si>
  <si>
    <t>Regina, Francisca Gozani y Sor María</t>
  </si>
  <si>
    <t>Francisca Gozani y Sor María Regina</t>
  </si>
  <si>
    <t>…marquesa de Bañimargue . , . :r 15. Un libro de cuentas de la fábrica de la parroquia de S. Ginesde,esta corte del año de 1783 . ■ ( '- 16. Papeles concernientes á las hijuelas de Doña Francisca Gozani y Sor María Regina, naturales de esta corte. -. ^Legajo quinto, i.° Venta de una casa de la calle Mayor , que está en el portal; de los roperos' de nuevo,; otorgada por D Eugenio dé’Oliva, por sí y en-óorribre de, Doña Luisa de Oliva, heréderá "de‘J Doña Ana de Oliva su ti a, e…</t>
  </si>
  <si>
    <t>Regue, Ramón</t>
  </si>
  <si>
    <t>Ramón Regue</t>
  </si>
  <si>
    <t>…Apodaca.,f •• r . ; .&gt;:■ 'tu¡ L , :: /"I X lOr-v^V .. 3 ° ,,Excmo. Sr.: Acompaño á V. E.' para su stíperíor conocimiento el parte que me ha dado el capitán de dragones de «Moneada D. Ramón Regue ra, comandante de los destacamentos de Zinapécuaro, relativo á la ultima expedición que egecutó en combinación por iel; rumbo de Cuitzeo., logrando la prisión y muerter de varios rebeldes, extracción de dos cañones ¡. que tenían ocultos y otras armas. •.-•••*…</t>
  </si>
  <si>
    <t>Reguera, Ramón</t>
  </si>
  <si>
    <t>Ramón Reguera</t>
  </si>
  <si>
    <t>…os ensillados!. &gt; ,, El 28 pasé á Tacámbaro, y en las inmediaciones se aprehendieron 4 rebeldes montados y armados por una partida de mi caballería, ¡y 3 por el capitán de Moneada D. Ramón Reguera, que se me reunió alli. En seguida mandé al teniente coronel D. Vicente Lara á recoger algún ganado á la ha cienda de 5. Antonio de las Huertas con 300 caballos’, y ^con el resto, ¡de la división vine á este pueblo porque supe trataba de formar reunión el cab…</t>
  </si>
  <si>
    <t>Reilie</t>
  </si>
  <si>
    <t>…mariscal de campo marques de Pange, al consejero de Estado conde Pelet de la Lozere, al conde Portalis, consejero de Estado, y ministro plenipotenciario cerca de la Santa Sede, al conde Reilie, teniente general, al conde Ruppy, teniente general, al conde Rapp, teniente general, al conde Rampon , al teniente gene ral conde de Sparre, á nuestro primo el marques de S. Simón, mariscal de campo, al conde de Sussy, á nuestro primo el mariscal duque de Tr…</t>
  </si>
  <si>
    <t>Reina, Miguel</t>
  </si>
  <si>
    <t>Miguel Reina</t>
  </si>
  <si>
    <t>…eina; D Josef Garci, D. Ramón Porta, D. Francisco Marín, D. Manuel Capace te , D. Josef Morales , D. Matías Michana, D. Gregorio de Casadevals, Don Miguel Fassia, D. Manuel Gómez, D. Miguel Reina y D. Manuel Rojas. - Valladolidá'S de Julio. • ! , n ;• / La Real sociedad económica de esta capital y provincia celebró ehlj/tardé del 26 del corriente la junta públicay solemne de distribución dé premios en las sidas coi.sistofiales. El Excmo. Sr. D. Carlos Ó-Donéll, capitán…</t>
  </si>
  <si>
    <t>Reina, Pascual</t>
  </si>
  <si>
    <t>Pascual Reina</t>
  </si>
  <si>
    <t>…uientes c ,, El capitán' Di Alejandra Luvian ; ¿i Br, D. Francisco* Perez ; los tenien tes í&gt;. ManueL Ventura Filio»» D, Blas. Azcarate y P. Josef Joaquín. Cowley;, el subteniente D. Pascual Reina » los capitanes IX Gregorio Hernández y Dom</t>
  </si>
  <si>
    <t>Reínwardfc'</t>
  </si>
  <si>
    <t>Núm. 12$. [ 5 cuartos. ] I02| TW DEL MARTES. 12 OCTUBRE DE 1819, m • ASIA. B atavia 2 de Mayo. El profesor Reínwardfc', director de los ramos de agricultura, ^rte? y cien cias, ha emprendido un viage al interior de Java, cuyo principal objeto es re coger noticias acerca del estado físico de la isla. Le acompaña el pintor Mr. Payen, dé Brusélas, los dos dibujantes llamados Bic…</t>
  </si>
  <si>
    <t>Reisach, Carlos Augusto de</t>
  </si>
  <si>
    <t>Carlos Augusto de Reisach</t>
  </si>
  <si>
    <t>…do el artículo siguiente: ^ Habiendo declarado el tribunal supremo de apelación por sentencia de 9 de Marzo culpable del crimen de infidelidad en el egercicio de sus funcio nes al conde Carlos Augusto de Reisach, antiguo comisario general del cír culo de Iíler, ha sido destituido, y condenado á 12 años de reclusión, y en consecuencia borrado de la lista de los gentileshombre* de S. M. y de la matrícula de la nobleza del reino.”</t>
  </si>
  <si>
    <t>Reluz, Juan Bautista Castillo Fernandez de</t>
  </si>
  <si>
    <t>Juan Bautista Castillo Fernandez de Reluz</t>
  </si>
  <si>
    <t>…amática cas tellana y doctrina cristiana, en que manifestaron los alumnos tan sólida ins trucción como en los exámenes anteriores; y habiendo sobresalido en la doc trina cristiana D. Juan Bautista Castillo Fernandez de Reluz, cadete del regi miento de dragones de Sagunto, de edad de nueve años , se le adjudicó otra medalla de premio igual á la primera. Los conocimientos que manifestaron los niños, superiores á su edad, su aire modesto y desembarazado al mismo tiempo, merecieron s…</t>
  </si>
  <si>
    <t>Ren, Francisco</t>
  </si>
  <si>
    <t>Francisco Ren</t>
  </si>
  <si>
    <t>…Alvarez. ... . Sanhícar d^ Bárrame da 24 de Mayo, En Diciemjbre.del año últiipo" se, celebraron en esta ciudad exámenes pú blicos de primeras letras, bajo la dirección del maestro D. Francisco Ren den. Presidió el acto el mariscal de campo D. Carlos D’aunoy, gobernador político y militar de .^sta ciudad ¿ y concurrieron las diputaciones del muy ilustreayuntamiento y .respetable clerovcon el vicario eclesiástico, prelados de.ilas-comunidades y. otras pe…</t>
  </si>
  <si>
    <t>Represé, Baltasar de</t>
  </si>
  <si>
    <t>Baltasar de Represé</t>
  </si>
  <si>
    <t>…a; D. Gregorio Joa quín Piquer, canónigo de Valencia, yrector desaquella* universidad; marques de Ca&lt;a-Calderon &gt; alcalde dei Crimen en Lima; D. Antonio Picardo, Vecino de Cádiz ; D. Baltasar de Represé, comisario “de .guerra; D. Josef María Cón¿ de Salazar, regidor de Córdoba; D. Joaquín Gregorio deGoycoa, vecino de S. Sebastian; D. Josef Campo y'Soler, cónsul general y comisario en SierraLeona ; D. Felipe Patdo y García , prebendado en Segovia ; D. Manuel…</t>
  </si>
  <si>
    <t>Rer, Josef</t>
  </si>
  <si>
    <t>Josef Rer</t>
  </si>
  <si>
    <t>…Noviembre tuvieron la honra de felicitar á S. M. por su augusto enlace á nombre de la ciudad de Valencia los señores D. Josef Antonio de Larrumbide, ministro del Consejo Real , y D. Josef Rer moñ Gentis, exento de guardias de la Persona del Rey, ambos regidores per petuos de la misma ciudad; y el primero arengó 4 S. M. en los términos si guientes: ■ - '</t>
  </si>
  <si>
    <t>Resumiendo</t>
  </si>
  <si>
    <t>…á cargo de la Dirección, se hicieron varias obras indispensables, cuyo' costo de 263,884 rs. y 32 mrs.'vn. se suplid por el fondo de correos á calidad de reintegro^ ^ f ' Itesúmen general Resumiendo las obras hechas en todas las carreteras generales y caminos trasversales que están á cargo de la Dirección, resulta que ademas de las obras de conservación se han hecho leguas , 32.35 pies de recargo de firme de ca prino. jSe han abierto y construid©¡ de nue…</t>
  </si>
  <si>
    <t>Revuelta, Hermenegildo</t>
  </si>
  <si>
    <t>Hermenegildo Revuelta</t>
  </si>
  <si>
    <t>…ovincia de Guanajuato. i ^ „Dios guarde á V. E. muchos anos. Guadalajara Mayo 25 de 1818. == Excmo. Sr. =Josef de la Cruz. =r Excmo. Sn vi rey D. Juan Ruiz de Apodaca.’i Parte del coronel D. Hermenegildo Revuelta.. &gt; j,Excmo. Sr.: Según dije á V. E. en mi último oficio, salí de esta el 13? del corriente , habiendo despachado la noche del 12 una partida de 100 ca ballos á lo alto de la sierra, que permaneció emboscada para ver si por este medio se cogían algunos ladron…</t>
  </si>
  <si>
    <t>Rey</t>
  </si>
  <si>
    <t>…Valencia sobré la necesidad de-,extender el cultivo'vVotó de unfiroc.ai de lai junta nombrada en 1794 pata examinar un proyec to del ministro de Hacienda: noticia de la muerte del señor Rey t&gt;. Luis 1.—.En la misma librería.se admiten suscripciones, para el tomo 5.0 y siguientes, y se venden los números sueltos* y en lá$ de Villa., plazuela de Sto. Vommgo, y de Vizcaino», ¿'^le de,la,,GoncepQÍQ^i,p'erQnim,af ü .,1 ,!‘x En dicha librería dé Perez…</t>
  </si>
  <si>
    <t>…nación de un juro concedido á la justicia, ayunta miento y vecinos de la ciudad de Ecija de 2.800$ mrs. que el dicho concejo habia pagado por ella, falto de hojas, expedido por el Sr. Rey D. Felipe ir. 3.0 Escritura de fundación y nueva imposición de censo al quitar, otor gada por Miguel Miralles, vecino del lugar de Fortuna, jurisdicción de la ciudad de Murda, y i nombre de los vecinos particulares de dicho lugar,</t>
  </si>
  <si>
    <t>…de‘ los man tenimientos, repasarla y ver su bondad, y el de almotacén para dar las medj"das ~de-aceite~y otros comestibles que pertenecen i la vida de Bobadilia del Camino por el Sr. Rey D. Felipe \Se-XQnlinua*á.)</t>
  </si>
  <si>
    <t>…______ ___________ ;_________ ;______ 2____ Continuación del inventario de los instrumentos y títulos que se hallan en el archivo de procuradores. i 27. Una cédula expedida por el Sr. Rey D. Felipe v concediendo facul tad al lugar de la Zarzuela para que pueda toiriar 230 fanegas de tierra bal días en el término de Tálamanca en precio de 11® rs., su fecha 28 de Setiem bre de 1646. 28. Egecutoria expedida por el Real Consejo de Hacienda en 5 de Di ciembr…</t>
  </si>
  <si>
    <t>…s de Mesa y D. Diego Ramírez de* Mesa Castaños, ‘su£ albaceas, ante Francisco Morales, escribano del número de esta corte, en 2 de Octubre de 1665. 2.0 Privilegio concedido por el Sr. Rey D. Felipe 11 á la villa de Torre de Juan Abad, restituyéndola en la jurisdicción y haciéndoladueña’ de todos íos baldíos, montes y egídos por vía de venta y facultad de poner ; guarda, á tpdo su térmiño y otras regalías.cr Un/ despacho para que la -justicia ,, en el té…</t>
  </si>
  <si>
    <t>…exposición,del ■'ministro de Haciendp conde de Leréna hecha al Rey en 1789'- 3*° segun-da noticia historial de las con quistas de Tierra-firme: 4.0 carta del obispo de fucuman al Sr. Rey D. Felipe iv*. -5:"'libro 2v9-de las'apuntaciones para la historia de los, reinadosde los tres últimos SobeTatios¡de la dinastía austríaca5én Rspáñá: ó.91 papel1 del 'éotidésíáble i ©? Luis^iJé Salazar y Castro-sobre ¿1 tratamiento que los infantes ‘dé Gásfillá- hacen…</t>
  </si>
  <si>
    <t>…nerales acostumbrados, dispuso desde luego ves tir'lisios y celebrar las honras con la misma pompa y aparato que de sus li bro1- de acuerdos resultaba haberse egecutado en las del Sr. Rey D. Carlos 3¡i y su augusta Esposa Doña María Amalia de Saxonia. Con efecto, tomadas las oportunas disposiciones, convidadas las comunidades religiosas, cofradías y persogas mas visibles del pueblo, tuvo el ayuntamiento.el triste consuelo .de-qiu se celebrasen en la igl…</t>
  </si>
  <si>
    <t>…as de la Reina Doña MaríaXuisa en los ,dias ii y 12 de Febrero, siendo el panegirista de sus relevantes prendas el M. R. P. Fr. Jacinto de Obon, del orden de Capuchinos; y las del Sr. Rey D. Carlos iv en los días 16 y 17 de Marzo, cuyo elogio fúnebre dijo el Dr. Carlos Láborda, canónigo magistral de la insigne iglesia colegial de Sta. María la Mayor de Tatnarite de Litera. A todas tres funciones asistió el ayuntamiento vestido de riguroso luto, precedid…</t>
  </si>
  <si>
    <t>…nuestro Señor se ha servido determinar que se venda i dinero metálico el monte titulado.de la Moraleja, agregado al Real sitió del Pardo pór compra que de él hizo la Mágestad dél Sr. Rey D. Cárlós ni, su augusto Abuelo, que santa gloría haya, en tó de Junio de 1779, el cual linda por el ocíente y norte con el término' de S. Sebastian de los-Reyes, por mediodía cotí eide la villa de Hortaleza, y por poniente con el de Fuencarral, y se compone de 1 264 f…</t>
  </si>
  <si>
    <t>…-firme; noticias sobre el canal de Castríl, ó sea de Huesear; viage por tierra hecho desde Rio-Janeiro á Lima á principios de 1818 ; noticia sobre reforma de abu sos en tiempo del Sr. Rey D. Felipe iv; discurso hecho en nombre del mismo Rey á la junta-grande por el obispo Brizuela, presidente de Indias; informe sobre el puer to de Valdivia; orden é instrucción de Isidro Cornado á Alonso de Amparáez , en viado desde el Callao á vigiar la mar; índice de l…</t>
  </si>
  <si>
    <t>…ta aquel Real panteón, dicho señor sacó las llaves'que cerraban aquello* y conducía en una caja; y abiertos, los monteros de Cámara reconocieron lo* Reales cadáveres de SS. MM. ei Sr. Rey D. Carlos iv y la Sra. Reina Doña M# ría Luisa de Borbon., que asimismo, reconocieron los RR. PP. prior y diput^dos, y todos/ios , demasMque; van expresados y .se hallaron presentes: despqesjde [o cual el Exorno, Sr^ marques de S; Martin eeriró nuevamente los Reales fé…</t>
  </si>
  <si>
    <t>…ie:íqs.TReai^cadáveres; fue-i sen trasportados al, panteón del Real monastério deí/Escoria I;íSabida esta i de terminación por S.,M¿ el Rey. de las Dos¿¡icil¡asaugusto henpano,del Señor Rey .difunto, .quiso eii pbsequip .de .su,respetable'memoria, y de ia Persona del: ^^Y' nuestro, ^eñor, ¿tpmar parte en las disposiciones; necesarias para la ^r?ls^Í9I? i 4 CUT9 ma^dd preparar ,uqa; fr?ggtajde su Redi - Ü</t>
  </si>
  <si>
    <t>…e las Dos Sicilias, comendador en la de Santiago, teniente ge neral de los Reales egércitos, gentilhombre de Cámara de S. M. con egercicio, mayordomo mayor y sumiller de corps del Sr. Rey difunto, y comisio nado por el Rey nuestro Señor para recibirlos y trasladarlos al citado Real panteón. : ■ : Los Reales cadáveres habían sido antes de su embarque embalsamados y puestos cada uno en dobles cajas, la interior de plomo, y la exterior de ma dera…</t>
  </si>
  <si>
    <t>Rey, Santiago</t>
  </si>
  <si>
    <t>Santiago Rey</t>
  </si>
  <si>
    <t>…s contagiados en. los mismos términos que se ha indicado á S. I. en las remesas anteriores de,dinero que se le han hecho. Por el correo de 2ÓS de Noviembre se libraron á favor del Sr. D. Santiago Rey , inquisidor de Sevilla ? 20® rs. vn. con - destino á prevención para la; ciudad de Ayamonte, donde: sejrezeia se haya propagado el contagio, á fin, de que esten prontos los socorros en el caso desgraciado de que se verifique. ARTICELO fi.B OÍICIOi' Por el mi…</t>
  </si>
  <si>
    <t>Rey, Vicente</t>
  </si>
  <si>
    <t>Vicente Rey</t>
  </si>
  <si>
    <t>…íguez Romero y EX Fermín Pedregal. En geometría prác tica el referido Barbet, D. Joaquín y D. Luis Ciavareza, D. Fermín Galceran, D. Florencio Pereira/D. Manuel Rodrigpez Almeida, D. Vicente Rey, Don Ramón Casal y D. Manuel María Riberos. En trigonometría plana dichos Díaz, Casal, Rodríguez Almeida, Barbet y D. Luis Ciavareza. En trigono metría esférica los mismos Ciavareza, Casal y Rodríguez Almeida. En cosmográfíív los pifados Rey, Casal , Riberos,…</t>
  </si>
  <si>
    <t>Reyes, Manuel Josef de</t>
  </si>
  <si>
    <t>Manuel Josef de Reyes</t>
  </si>
  <si>
    <t>…audiencia de Sta. Fe, vacante por fallecimiento de D. Miguel Novas, á Don Josef del Barrio: para.otra plaza de oidor de la Real -audiencia dé Ghíircas4, vacañte por; promoción de D. Manuel Josef de Reyes á regente de la misma, i D. Mateo Mágariños ;! yapara el’empleó' dé teniente asesor de la Paz en eí vireinato del Perú á D. Francisco de Paula Raez. En consideración á los, particulares méritos y servicios ’ del’ conde de San Fernando de Peñalver, y á los de…</t>
  </si>
  <si>
    <t>Rhamd’hor</t>
  </si>
  <si>
    <t>…? -......... Esfa. mañana á; las seis ha salido .íje^qui p^ra el campamento que se está formgn^lQtgn lasinmediaciones deMaestrich la primera división de infantería, mandada por el coronel Rhamd’hor, ’ FRANCIA. : „ í •;; , pi^ris 20 de Setiembre. \ El 29,de Julio último llegó, de Oremburgo á Casan un personage que va de enviado'.de la Bucaria á Ja cqrte.de Rusia, llamado Beg-Mirsa-Mumitischanow., é inmediatamente tpmó eí camino de Moscow. El Rey de Bavie…</t>
  </si>
  <si>
    <t>Riaño, Juan Antonio</t>
  </si>
  <si>
    <t>Juan Antonio Riaño</t>
  </si>
  <si>
    <t>D. Josef Euíalío Ziozí, á D. Miguel María de Yarza, y para ía media ra ción de la iglesia metropolitana de Sta. Fe, vacante por fallecimiento de Don Juan Antonio Riaño, á D. Joaquín Pichó. A virtud de providencia del Sr. D. Manuel Josef Rubio, del Consejo de S. M., teniente corregidor de esta muy heroica villa, se vende , á pedimento de sus dueños, una casa en esta corte, sita en la calle del Rincón de S. Cristóbal, núm. 16…</t>
  </si>
  <si>
    <t>Riaño, Miguel de</t>
  </si>
  <si>
    <t>Miguel de Riaño</t>
  </si>
  <si>
    <t>…en dicho despacho , y en las provincias en todas las ad ministraciones principales y agregadas de Correos. En virtud de renuncia formal hecha en 17 de Febrero de 1817 por el Lie. Don Miguel de Riaño, canónigo* éñ la'catedral de Calahorra, de una casa con su huerta, sita en la villa de Santillana y su calle d.el Cantón, por la justicia de ella se forma expediente para la averiguación del sugeto á quien correspondía, y practicadas las oportunas diligencias…</t>
  </si>
  <si>
    <t>Ríaza, Juan López</t>
  </si>
  <si>
    <t>Juan López Ríaza</t>
  </si>
  <si>
    <t>…del mismo sitio y tierras de Mamuel Velasco y Bonifacio de Humara, tasada en 358 rs.: otra en la Solana del Caño, su cabida cuatro fanegas y un celemín, linde de Julián Fernandez, D. Juan López Ríaza, Barranco del Caño y camino que va á la Dehesa, tasada en 204 rs. t otra en, el cerro alto, de cinco fanegas, linde de Sebastian de Humara y herederos de María Ramírez, tasada en 300 rs.,: un pedazo de solar y frontera frente delmeson de Ma nuel Velasco, lind…</t>
  </si>
  <si>
    <t>Riaza, Julián López de</t>
  </si>
  <si>
    <t>Julián López de Riaza</t>
  </si>
  <si>
    <t>…es pasado se procederá á lo que haya lugar. xSe venden diferentes fincas situadas en el lugar de las Rozas y su término, á sa ber: una tercera parte de un sitió linde con pajar de D. Julián López de Riaza y con barranco vertiente del lugar que llaman la Gavia, tasada en 60/rs.: una era em pedrada y parte sin empedrar c^ue está en lo alto del pozo de Ja nieve, linde con otras de herederos de Gabriel Tirado y de Juan Benito, en fronteras dei citado Don Julián Ló…</t>
  </si>
  <si>
    <t>Ribera, Francisca</t>
  </si>
  <si>
    <t>Francisca Ribera</t>
  </si>
  <si>
    <t>…eció particular aprobación ? un egemplarde lás•Ré^ás¡Vdel:dibujo;dricuer po huxnáno con láminas. En laesCuela ¡gratttita démiñas de esta Réál sociedad fueron premiadas su -maesdra Doña Francisca Ribera y süs íeducandafs fiaría del Carmen Lerma, María Tisidor, María del Carmen 'Quesada y BetnaBcia Velasco, María de la Concepción Abad.; Joséla dé^jefres:; Márgáritá Gb^dqy, Josefa “Vallar, María Manuriá Pereál; Maria Dolores Pro, liaría Cal derón &gt; Ramona Rome…</t>
  </si>
  <si>
    <t>Ribera, Francisco Timoteo de</t>
  </si>
  <si>
    <t>Francisco Timoteo de Ribera</t>
  </si>
  <si>
    <t>…promoción de D. Vicente Simón González de Cosío á la de arcediano de la misma, á D. Francisco Juan de Pazos: para la canongía penitenciaria de la iglesia catedral de Sta. Marta á D. Francisco Timoteo de Ribera; y para la canongía doctoral de la Sta. iglesia de Comayagua al Dr. D. Manuel López de la Plata. ^ Asimismo se ha dignado nombrar para la regencia de la Real audiencia de Quito, vacante por jubilación de D. Francisco Xavier Esterripa, á D. Fran cisco Xavier M…</t>
  </si>
  <si>
    <t>Ribera, Juan Antonio</t>
  </si>
  <si>
    <t>Juan Antonio Ribera</t>
  </si>
  <si>
    <t>…icente López. En otra de las salas había expuestas dos pinturas que en punto menor representa ban la resurrección y la coronación de espinas de nuestro Señor Jesucristo hechas por D. Juan Antonio Ribera, pensionado de la academia, que acaba de venir de Roma. En el gabinete de retratos se colocaron los tres bustos .en yeso de los Sermos. Sres. Infantes D. Gárlos, Doña María Francisca y D. Cárlos Luis, hechos con mucha propiedad y semejanza por D. Valeriano Sa…</t>
  </si>
  <si>
    <t>Ribera, Rodrigo de Herrera y</t>
  </si>
  <si>
    <t>Rodrigo de Herrera y Ribera</t>
  </si>
  <si>
    <t>…á D. Juan Miguel de Robles, capellán de la capellanía fundada en el con vento de S. Felipa el Real do la referida muy heroica.villa de Madrid; cuyas funda ciones están hechas por D. Rodrigo de Herrera y Ribera y Doña Brianda de Men doza, para que se presenten en el término preciso de 30 días, contados desde lapu* blicacion de este anuncio, á cumplir las referidas capellanías, y percibir sus asigna-</t>
  </si>
  <si>
    <t>Ribera, Roque de Herrera y</t>
  </si>
  <si>
    <t>Roque de Herrera y Ribera</t>
  </si>
  <si>
    <t>…en su nombre, suplicamos á V* M¿ se digne admitirlos, y nos dispense el honor de besar su Real mano.’* En virtud de acuerdo de los señores patronos de las memorias fundadas por el Sr. D. Roque de Herrera y Ribera , y las de Doña Brianda de Mendoza en el con vento de S. Felipe el Real de esta ccrte, de que son patronos el señor cura de la iglesia parroquial de S. Sebastian de está- villa, el R. P. Prior del insinuado convento, y los señores marqueses-de Auñóri , en jun…</t>
  </si>
  <si>
    <t>Ribero, Manuel de Granda y</t>
  </si>
  <si>
    <t>Manuel de Granda y Ribero</t>
  </si>
  <si>
    <t>491</t>
  </si>
  <si>
    <t>…'y enfer medades , y desempeñar el cargo de bibliotecario def respectivo Real colegioi. Los aspirantes á las referidas vacantes deberán acudir, por sí d por apode rado legal ante, D. Manuel de Granda y Ribero, secretario por S. M. de la Real junta, para firmar á la oposiciou en el preciso término de 90 días conta dos desde el dia 15 del corriente, presentando al mismo tiempo documentos justificativos de su buena vida y costumbres-, y de bailarse graduados de doc t…</t>
  </si>
  <si>
    <t>Ricafqrt</t>
  </si>
  <si>
    <t>…esta provincia, con un alférez natural de la ciu dad de Córdoba &gt; apellidado Rojas, un capitán y dos soldados do los iridios chiriguanos, un soldado desertor ,de la escolta ¡del «general Ricafqrt, otro dei escuadrón de mi mando, y dos paisanos, sin mas armas que dos fusiles, cin co machetes, siete mutas y dos caballos. Todo lo que comunico,á V. S. para su inteligencia y satisfacción. . ' &gt;: &gt; ,, Dios guarde á V. S. muchos años. Tari ja y ^Marzó.f de 1…</t>
  </si>
  <si>
    <t>Ricaurte, Jorge</t>
  </si>
  <si>
    <t>Jorge Ricaurte</t>
  </si>
  <si>
    <t>…Panamá, vacante por cesación de D. Víctor de la Guardia, á Don Julián María Bergído: para el corregimiento del Asiento de Ambato, en la presidencia de Quito , al coronel graduado D. Jorge Ricaurte: para la asesoría del gobierno é intendencia-de Popayán, á D. Miguel de Nájera Meneos; y para la subdelegacion de Tinta, en la provincia del Cuzco, á D. Vicente Berros Villarica. En atención á los méritos de D. Miguel García de la Vega, contador de resultas p…</t>
  </si>
  <si>
    <t>Rico, Antonio López</t>
  </si>
  <si>
    <t>Antonio López Rico</t>
  </si>
  <si>
    <t>….-'zor; uz o.txmtnt Madrid ío dt Noviembre* u&gt;-u iluit Continua la lista de los contribuyentes y sííscriptores para socorrer los pue blos afligidos con la epidemia. &lt;\ Numero 188. D. Antonio López Rico ii.,rs eon2';mrs;Númí^i89. D. N; 20. Num. 190. D. T. R. 200. Núm!, ípj. •Franciscó' Tórxes^ mwsb sirviente, de su salario,.!o. Núm. 192. Dós hermanos 60.;«Núm; &lt;N.'40. Núm. 194. Doña F.M; 16a. Núm¿ 195* BU;M&gt; A.Xs.aoo.NútíiJ¿9^* ¿D; N.y confesor, 50* Nóm. 197…</t>
  </si>
  <si>
    <t>Rico, Rafael</t>
  </si>
  <si>
    <t>Rafael Rico</t>
  </si>
  <si>
    <t>…, IX'Jósef dé Rute y á D. Josef Mendoza, que fueron los que mas sobresalieron. Lósl 20 menores restantes á D. Francisco Molina, al guardia de la Real Pérsona Di Jo sef V idaurre, D. Rafael Rico, D. Celestino Arel lañó, D. Josef Jiménez, Don Juan Pedro Isr.si, D. Miguel Infante, D. Josef Aguirre, D&gt; Alonso Reina; D Josef Garci, D. Ramón Porta, D. Francisco Marín, D. Manuel Capace te , D. Josef Morales , D. Matías Michana, D. Gregorio de Casadevals, D…</t>
  </si>
  <si>
    <t>Rieafort</t>
  </si>
  <si>
    <t>…; ^ ! r;;:‘ ' ' ~ Idem, ti de Julio* Parte del general en gefe del egército Real del Alto-Perú al Excelentísimo Sr. virey. &gt; ,, Excmo. Sr.: Por los dos partes que c me ha dado el•0brigadier Rieafort, y que en copia acompaño, quedaráb enterado V. E- deíloslvanoi encüéñtros que han tenido las armas del Rey eri las provincias de nfrrétaguardia, y de sus buenos resultados. ■ ■ ' y ( ■ vf -c • • bh t •. ,,Dios guarde á V. E. muchos años. Cuartel general de Tu…</t>
  </si>
  <si>
    <t>Riega, Bernardo</t>
  </si>
  <si>
    <t>Bernardo Riega</t>
  </si>
  <si>
    <t>…das las. .proporciones que se presenten.paía-eb debido conoomiento^ gobierno de;esaí^rema. Dios «usftte mudros años/_Mahon &gt;14 dé Junio de *810. st Migad de Saracbaga. = Hmo; Sr_. D. Bernardo Riega, pré ndente de Ja junta suprema de Sanidad del reino.” . _ La ,circular á que se refiere el precedente ©ficto es como siguet Le junte superior de Sanidad de la isla ¡de Menorca, deseando evitar to da impresión opuesta á la jreaUdad. de lo. acaecido en. este R…</t>
  </si>
  <si>
    <t>Riega, Manuel</t>
  </si>
  <si>
    <t>Manuel Riega</t>
  </si>
  <si>
    <t>…A D.-Josef Antonio Morales , alcalde mayor de la Laguna , capital dé Tenerife. • Secretarios del R’sir con egereicio de decretos. - A D. Josef Cecilio de la Rosa; D. Agustín Sojo; D. Manuel Riega, y Don Josef Cabeza de Mora , oficiales de la secretaría de Estado y del Despacho dé Gracia y Juncia de España; D. Antonio Martínez Salcedo y D. Sebastian Hurtado. ' Honores de secretarios del Rey* A Frey D. Josef de Gortari, sirviente de armas de la orden de…</t>
  </si>
  <si>
    <t>Riendo, Juliana</t>
  </si>
  <si>
    <t>Juliana Riendo</t>
  </si>
  <si>
    <t>…esta y Carlos Segura. ¡.»‘ • . •• v . i;. . , . Escuadrones del Rey. .* Alféreces.Gregorio Rivas y Pablo Salazar. . . Dragones leales d Fernando vir. . Teniente. Antonio. Naranjo. Doña Juliana Riendo, natural del Guayabal, la nobleza personal, aten-, diendo al mérito de sus dos hijos los tenientes coroneles D. Antonio y Don Felipe Ramos/ • , ; : ™ El Rey nuestro Señor se ha servido agraciar con la cruz de la Real'or den Americana de Isabel la Católica al…</t>
  </si>
  <si>
    <t>Riera, Lórenzo</t>
  </si>
  <si>
    <t>Lórenzo Riera</t>
  </si>
  <si>
    <t>…practicante de farmacia de egército, que le cor responde por el art. 3.° de 1a referida circular, y por igual causa. - Por: otra de 3i del mismomessehaservidoS. M. conceder al Dr. D. Lórenzo Riera, primer ayudante de cirugía ¿que. fue en la última ¿campaña, [y ac tualmente cirujano del cabiLdo deLeonyel fgéto militar y Uso de uniforme de^ consultor de cirugía dé egército-^ que Je .corrdípoñde como comprendido' etr los artículos i.° y6.° déla ex presada…</t>
  </si>
  <si>
    <t>Riero, Pedro Alonso</t>
  </si>
  <si>
    <t>Pedro Alonso Riero</t>
  </si>
  <si>
    <t>…do con el señor fiscal y otros consortes sobre ser exentos de pagar alcabala y otros derechos por el privilegio concedido á Juan Fernandez Ibañez de Siera de Lubio, re frendada de D. Pedro Alonso Riero. 29. Confirmación al concejo, justicia y regimiento de la villa de Valencia de Alcántara de un privilegio que tiene para que en ningún tiempo pueda ser eximido ni apartado de la dicha villa el lugar de S. Vicente, aldea y juris dicción de ella. ' 30. Dos cédu…</t>
  </si>
  <si>
    <t>Rincón, Mauricio Justo del</t>
  </si>
  <si>
    <t>Mauricio Justo del Rincón</t>
  </si>
  <si>
    <t>…fecha , comparezcan por sí "ó por medio "de ^tocúrador*, con* suficiente poder; á legi timar el que les asista fétidos autos pendieht'és1^ su juzgado y^escribanía da provin cia de D. Mauricio Justo del Rincón, qúe si Ib hicieren se les oirá y administrará justicia en lo que la tuvieren, -y en otro casó se continuarán dichos autos» y „les para rá el perjuicio que haya lugar, . Se vende un censo dc^ig^iyg rs. y 1 mrs. de capital con réditos de dos y medio por ciento…</t>
  </si>
  <si>
    <t>…dor con poderbastante al juzgado del Sr. D. Vicente García Cavero, del Consejo de S. M., su*al calde de Casa y Corte, por la escribanía de provincia y comisiones, de la- misma ele D. Mauricio Justo del Rincón ; bajo apercibimiento que de no hacerlo les parará el perjuicio que haya lugar. Por providencia del Sr. D. Manuel Josef Rubio, del Consejo de S. M., teniente corregidor de- esta- muy heroica villa &gt;• su fecha 7 del corriente, se cita, llama y em plaza á los p…</t>
  </si>
  <si>
    <t>…curran á legitimar los que les cor responda al juzgado de provincia del Sr. D. Vicen te García Cavero, del^Gorascjode S. M.t su alcaide en su Real Casa y Corte, y es* cribanía de D. Mauricio Justo del Rincón ¡ apercibidos que pasado se proccderá^al señalamiento «de día para la junta. . ^ Ei dia 5 salió á luz «I núra. 48 de la continuación del Almacén de frutos litera rios , con el cual se completa ei tomo 8.® Comprende este, los tres, discursos pronun ciados en l…</t>
  </si>
  <si>
    <t>…estimadas en 204,764 rs., que se mandan enagenar con Real fa cultad , acuda por el juzgado del señor alcalde de Casa y Corte D. Vicente García Cavero, y escribanía de provincia de D. Mauricio Justo del Rincón, ea el término de 30 dias, contados desde 27 del pasado, que se admitirán en el todo de su tasa y pago en metálico. No habiendo tenido efecto la junta de acreedores a los bienes de D. Magín Mari,</t>
  </si>
  <si>
    <t>Ríndelan, Sebastián de</t>
  </si>
  <si>
    <t>Sebastián de Ríndelan</t>
  </si>
  <si>
    <t>…ino de México; D.JNicolas Pícoaga, coronel graduado de milicias; D. Antonio Gutiérrez de UÍloa, in tendente de Nueva-Galicia; D. Mariano Antonio de Novoa, coronel dé mi licias; el brigadier D. Sebastián de Ríndelan; id. D. Antonio'-María Alvareé; D. Ignacio Perez de Lente, oficjál dé la primera secretaría dé testado ; D. Josef Villar y Frontín, oficial de la secretaría dél Despacho dé Hacienda; Ddn Honorato Bouyon, brigadier; D. Pedro Leonardo Noriega, teniente coronel;…</t>
  </si>
  <si>
    <t>RindJham</t>
  </si>
  <si>
    <t>…bihan y los inmediatos. Entre varios'viagéros dé la misma nación que han cruzado éñ estos últimos'dias el pasó :de Caláis , y se dirigen á está corte, se “cuentan los. siguientes: lord RindJham ; lord Trintesmen, Pár delrlandá; M?r. Bulkéley, Par dé Inglaterra, y los señores-Tomiiwe y-Neale, individuos del Parlamento. Asimismo en Strasburgo es tal la concurrencia de extrangeros de distinción, según dice el periódico’ titulado Correo del departamento…</t>
  </si>
  <si>
    <t>Rio, Bernardo del</t>
  </si>
  <si>
    <t>Bernardo del Rio</t>
  </si>
  <si>
    <t>…y amor á su Real Persona nnnca había dudado. El dia 26 del pasado tuvieron la honra de felicitar á S. M. por su augusto enlace el limo. Sr. obispo de Ciudad-Rodrigo y el canónigo D. Bernardo del Rio, á nombre del cabildo eclesiástico de aquella ciudad; y el primero dirigió á S. M. el discurso siguiente: Señor: »»En nombre del cabildo de nuestra santa iglesia de Ciudad-Rodrigo y de todo el obispado felicitamos á VV. MM. por su sanio matrimonio, te niendo…</t>
  </si>
  <si>
    <t>Rio, Josef María del</t>
  </si>
  <si>
    <t>Josef María del Rio</t>
  </si>
  <si>
    <t>…ro Señor se ha servido nombrar sus Secretarios con egercieío de decretos á los oficiales de la secretaría de Estado -y del Despacho de Ha cienda de Indias D. Ignacio de Michelena, D. Josef María del Rio, Don Francisco de Paula Leunda y D. Josef de Noriega y Posada. De orden del Gobierno se han suspendido1 hasta nuevo aviso las oposicio-, nes á las cátedras de agricultura de Valíadolid, Palencia y Baena. Lo que se hace saber al público para su gobierno. A ins…</t>
  </si>
  <si>
    <t>Rio, Narciso del</t>
  </si>
  <si>
    <t>Narciso del Rio</t>
  </si>
  <si>
    <t>…*y sin pér dida de momento dio las órdenes mas oportunas para llenar tan sagrada como doldrosa obligación. Con este objeto diputó á los regidores perpetuos marques de la Viñuela y D. Narciso del Rio con encargo especial de que las exequias se hiciesen con la mayor magnificencia, y asi se verificó, correspondierido estos comisionados á la confianza que se les había dispensado, y puestos de acuerdo con el Lie. D. Agústin Martínez, dignidad de prior, y el D…</t>
  </si>
  <si>
    <t>Ríos, AngebFernandearde los</t>
  </si>
  <si>
    <t>AngebFernandearde los Ríos</t>
  </si>
  <si>
    <t>…orna mento de la iglesia española ; honor de su .patria Asturias, y delicias.de los montañeses, que conservarán eternamente su memoria. 1 ■ ;t ri ;&gt; cEn^irtud'de provideifi&amp;ia dél Sr. D. AngebFernandearde los Ríos,' del Consejo de S. M., primer teniente corregidor detesta'muy-heroica ¡villa, se* subasta por tér mico de 30: &amp;iás, contados déSde 2 5 del pasado v 'el esfadó. ó heredamiento de la villa dé Valbueno, distante orcho leguas y inedia de esta corte, y una y cuar…</t>
  </si>
  <si>
    <t>Ríos, Angel Fernandez de Jos</t>
  </si>
  <si>
    <t>Angel Fernandez de Jos Ríos</t>
  </si>
  <si>
    <t>…ndo de otro vale Real también de 300 pesos y mis ma creación, mím. 9962, retenidos á instancia de D. Juan Rodríguez Llamas, para que acudan en el citado término por el juzgado del Sr. D. Angel Fernandez de Jos Ríos, teniente corregidor de esta muy heroica villa y escribanía numeraria de D. To mas de Sancha y Prado á usar de su derecho en forma, pues pasado se procederá á lo que haya lugar. xSe venden diferentes fincas situadas en el lugar de las Rozas y su término, á sa…</t>
  </si>
  <si>
    <t>Ríos, Angel Fernandez- de Tos-</t>
  </si>
  <si>
    <t>Angel Fernandez- de Tos- Ríos</t>
  </si>
  <si>
    <t>…toda Sevilla por su muerte 7 asi como sin vida , hechos y virtudes; morales,; militares y políticas serán de un grato- re cuerdo para la posteridad'., En virtud de providencia del Sr. D. Angel Fernandez- de Tos- Ríos, dtf Consejo* de S. M., teniente primero de corregidor dé esta muy heroica' villa,, se saca dé nuevo» á; pública subasta, y término- de- ocho días* nna hacienda sita en lW villa; de Tarazona de la Mancha, compuesta dé dos casas con sus correspondientes oficin…</t>
  </si>
  <si>
    <t>Ríos, Jósef Moralesde los</t>
  </si>
  <si>
    <t>Jósef Moralesde los Ríos</t>
  </si>
  <si>
    <t>…una fuerza superior. , ■ . , Madrid 21 de Junio. El día 6 descorriente dióifondo en Ja bahía de Cádiz el bergantínVolun* tarto, correo de lá armada, al mando del teniente de navio D. Jósef Moralesde los Ríos , procedente; de Vei’acruz y la Havana, con la correspondencia de oficio y pública de todas las A maricas. í El día antes de su entrada sostuvo este buque por espacio de tres horas y, media un combate obstinado con otro bergantín insurgente de Buenos-^Aires,,…</t>
  </si>
  <si>
    <t>Ríos, Luis Cruz y</t>
  </si>
  <si>
    <t>Luis Cruz y Ríos</t>
  </si>
  <si>
    <t>…a^ pinta do por D. Josef Madrazo, un S, Fernando para la capilla defcanal por Don Zacarías Veíazquez, y diversos retratos .hechos por D. Josef Aparicio, por D. Francisco Goya, por D. Luis Cruz y Ríos, por D. Rafael Tege, joven de 20 años, discípulo de la academia, de quien eran igualmente otros dos cuadros originales; y habia&lt;también varias copias de algunas buenas obras de nuestros antiguos pintores'hechas por D. Francisco Garrafa. En dos salas que forma…</t>
  </si>
  <si>
    <t>Rivas, Anselmo de</t>
  </si>
  <si>
    <t>Anselmo de Rivas</t>
  </si>
  <si>
    <t>…i ; duque de Veragua, consejera de Estado, .presidente! del Consejo supremo de Hacienda, caballero gran cruz de la Real orden es pañola de Carlos m y de la de Isabel la Católica ; D. Anselmo de Rivas, consejero de Estado;T&gt;. Guillermo Hualde, consejero de Estado ; Don Josef de Imáz, del Consejo de Estado , y secretario'interino de Estado* y.del Despacho universal -de; Hacienda; D. Tomas Aparicio Saaún, miuiSTf</t>
  </si>
  <si>
    <t>Rivas, Josef Borbujo y</t>
  </si>
  <si>
    <t>Josef Borbujo y Rivas</t>
  </si>
  <si>
    <t>…Y. 40. Núm. 180. D. P. F. 60. Núm. 181. Doña MaríaVindel, viu da, 20. Núm. 182. D. Miguel Carrera 20. Núm. 183. D. N., feligrés de San Andrés, 100. Núm. 184. D. N. 4. Núm. 185. Ei Sr. D. Josef Borbujo y Rivas, inquisidor de Toledo, en una letra dirigida por el correo al deposita-rio de.la suscripción, y cobrada por este, 1®. Núm. 186. León Ponce 20. Núm. 187. D. D. G. y P. 20. Asimismo se han suscrito los señores siguientes: Núm. 21. D. Pedro Goosens , durante la…</t>
  </si>
  <si>
    <t>Rivas, Manuel Eopéz de</t>
  </si>
  <si>
    <t>Manuel Eopéz de Rivas</t>
  </si>
  <si>
    <t>…os los capitales de censos y cargas que sobre sí tengan. El que quiéra hacer mejora acuda ante el señor alcalde de Casa y Corte D. Martin de Gaztañaga y escribanía de provincia de D. Manuel Eopéz de Rivas ; en el supuesto de que está señalado para su remate el lunes 21 del corriente, á las i 2 de su mañana; en la audiencia dél mismo señor alcalde y citada escribanía de provincia. . , /En virtud de providencia del Sr. D. Andrés Oller, del -Consejo de S. M.» al…</t>
  </si>
  <si>
    <t>Rivas, Manuel López de</t>
  </si>
  <si>
    <t>Manuel López de Rivas</t>
  </si>
  <si>
    <t>…omer cio que fue de esta corte, y en virtud de providencia del señor alcaide de Cara y Corte D. Martin de Gaztañaga, refrendada del escribano de provincia y comisiones de la misma D. Manuel López de Rivas, se ha mandado convocar á una junta ge neral de todos los acreedores é interesados á la testamentaría del precitado D. Jcsef Lorenzo Ortiz, y señalado para ella el día 15 de Abril próximo, al anochecer, en la posada de dicho señor alcalde, que la tiene en la…</t>
  </si>
  <si>
    <t>…Borbones. -tonEn virtud de providencia de ig del corriente del señor alcalde de Casa y Corte D. Martin de Gaztañaga, refrendada del escribano de provincia y comisiones de la misma D. Manuel López de Rivas, en prosecución de las diligencias de subasta de to casa propia de la testamentaría dél Sr. D. Matías Robles» arcediano que fue dé Tole¿hvvde construcción moderna , sita, en la calle del Amor de Dios de esta corté, que hace esquina á la de tos Huertas, con fa…</t>
  </si>
  <si>
    <t>…cia de 21 de Mayo próximo pasado del Sr. D. Martin de Gaztañaga, dei Conse jo de S. M., su alcalde ^e Casa y Corte, refrendada del escribano de,provincia y co misiones de la misma D. Manuel López de Rivas, se cita, llama y emplaza por ter cero y último término de 30 dias, contados desde esta publicación, á todos los acree*dores censualistas al precitado concurso que no se haya mostrado parte últimamen te , para que dentro de él comparezcan por sí ó por medio d…</t>
  </si>
  <si>
    <t>…as, con tados desde este anuncio, comparezcan por sí, ó por medio deprocurádor competen temente autorizado , ai juzgado del nominado señor alcalde , y escribanía de provine cia de D. Manuel López de Rivas, á deducir el derecho que crean asistirles á los referidos vales en la instancia que ha promovido D. Diego Gastambide, vecino y del comercio de la ciudad de Málaga, reclamando la pertenencia de los mismos; en Ja inteligencia de que sien dicho término no lo ve…</t>
  </si>
  <si>
    <t>…ueño, y en virtud de providencia del Sr. D. Martin de Gazta'íiaga, del Consejo dé S. M., su alcalde de Casa y Corté, refrendada del escribano de provincia y comisiones de la misma D. Manuel López de Rivas, se ha mandado sacar á pública subasta una casa sita en esta corte, y su calle de la Ruda, que hace es quina y da vuelta á la plazüela de la Cebada, señalada con el núm. 3 de la manza na 86, cuyo sitio se compone de 3754$ pies cuadrados superficiales, y se ha…</t>
  </si>
  <si>
    <t>…. ' . • En virtud de providencia del Sr. D. Martin de Gaztañaga, del Consejo de S.M., su alcalde de Casa y Corte-, autorizada def escribano de provincia yj,coamis¡ones de la misma D. Manuel López de Rivas, se ha mandado sacar á pública subasta una casa -sita en la villa de Aravaca, junto al hospital de la misma, propia de la testamentaria del difunto D. Juan de Andrade, la que se halla valuada en el día en 12S rss, y está hecha positura en las dos! tercera*-pa…</t>
  </si>
  <si>
    <t>…. M., su alcalde de Casa y Corte, que en ausencia de su compañero’el Sr. Don Martin.de,Gaztanaga,despacha su. audiencia, rerrendada^del escribam^ JJ&amp;xh&amp;V* y comisiones de la misma D. Manuel López de Rivas, y á voluntad de sus dueños, 1. i * i. '■ -**. . , •»i '' 1</t>
  </si>
  <si>
    <t>…an Raya. En virtud de providencia de Sr. D. Martin de Gaztañaga, del Consejo da S. M.#&gt; su alcalde de Casa y Corte, autorizada del escribano de provincia y. comisiones de la misma D. Manuel López de Rivas, se ha mandado sacar á míé.va subasta, por no haberse podido verificar en el dia 23 de Setiembre próximo pasado que se . hallaba., señalado para su remate, la casa sita en la villa de Aravaca, inmediata al hospital de la misma, perteneciente á la testamentarí…</t>
  </si>
  <si>
    <t>…que dentro del eniinciado término comparezcan por sí ó por medio de procurador competentemente autorizado ante el nominado señor alcalde y escribanía de provincia y comisiones de D. Manuel López de Rivas, en donde se halla radicada la instancia de reclamación de los mismos vales por D. Francisco Romani Ferrer, ve cino y del comercio de la ciudad de Barcelona; con prevención de que pasado dicho último término sin mas citación ni emplazamiento,se proveerá lo qu…</t>
  </si>
  <si>
    <t>…y que se halla señalado para su re mate el día 6 de Diciembre próximo, á las 12 de la mañana, en la audiencia del nominado señor alcalde, y escribanía de provincia y comisiones de D. Manuel López de Rivas. El que quiera hacer postura acuda, que se le admitirá siendo arreglada. El práctico cantor en ei ministerio de la iglesia: obra no solo útil sino necesaria para saber las regías del canto, según la obligación impuesta por varios Concilios, Santos Padres, Sum…</t>
  </si>
  <si>
    <t>…de la misma, perte neciente ála testamentaría de D. Juan de Andrade , radicada én el juzgado del señor alcalde de Casa y Corte D. Martin de Gáztañaga y escribanía de provincia de Don Manuel López de Rivas, cuya casa se halla val'uada en u^.-rs.', y después de ha-4 berse rematado en 8391 se hizo mejora hasta en cantidad de 88oo rs. en efectivo me tálico, rebajadas todas cargas, y bajo dicho concepto está señalado para su último remato el jueves 2 del próximo me…</t>
  </si>
  <si>
    <t>…que dentro del enunciado término comparezcan por sí ó por medio de procurador, competentemente autorizado, ante el nominado señor alcalde y escribanía de provincia y comisiones de D. Manuel López de Rivas, á de cir de su derecho en la instancia que sobre reclamación de los mismos vales y otros se halla promovida por parte del E-xcmo. Sr. duque del Infantado; en la inteligencia d.e que pasado dicho término, no habiendo comparecido, sin mas citación ni emolazami…</t>
  </si>
  <si>
    <t>…e i8 del que rige, dictada por el Sr. D. Mártin de Gaztañá~ga, del Consejo dé S. Jd'. V su alcalde de Casa y Corte, refrendada del escribano de ‘provincia y comisiones de-la misma D. Manuel López de Rivas, se ha mandadodla¥nar, citar y émplázar por él perentorio último término de 10 dias, contados desde él eii'qu^ se publique en la gaceta,-á. todos los ¡que se contemplen acreedores é inte•tfesados por cualquier concepto en la testamentaría del Sr. D. Luis Male…</t>
  </si>
  <si>
    <t>Rivas, Manuel Lppez de</t>
  </si>
  <si>
    <t>Manuel Lppez de Rivas</t>
  </si>
  <si>
    <t>…or S. S. Por providencia de i.° del presente mes de Abril del señor alcalde de Casa y Corte D. Martin de G aztañaga, refrendada del escribano de provincia y comisiones de la misma D. Manuel Lppez de Rivas, y á instancia de la dueña-de da-casa sita en la plazuela del Angel de esta corte, señalada con el núm. 25, manz. 234, que perteneció al concurso de 13. Pedro;Jósef de Adame, se cita, llama y emplaza por</t>
  </si>
  <si>
    <t>Rivi, Modesto Antonio</t>
  </si>
  <si>
    <t>Modesto Antonio Rivi</t>
  </si>
  <si>
    <t>…r de él, renunciando él derecho adquirido. ' En virtud de providencia del Sr. D. Martin de Gaztañaga, del Consejo de S. M., su alcalde de Casa y Corte, se cita 1 llama y emplaza á D. Modesto Antonio Rivi11o, D. Josef Perez Fernandez y Doña Agustina Ovando, á cuya instancia resulta^ hallarse reclamados respectivamente en la oficina de Renovación ocho vales Reales/ el uno de 600 pesos de Enero de iSo3 ", número 376804, y.los siete restantes de 150 pesos de .la…</t>
  </si>
  <si>
    <t>Ro</t>
  </si>
  <si>
    <t>…al tiempo y-cuando se presen taron á la renovación inmediata eran tales tenedores, del primero el Sr. D. Juan Bernardo Quiroga y Uria, dei segundo D. Juan Roca y Juan, del tercero D. Ro que Blanquer, y del cuarto y último Doña Josefa Cáceres, para que dentro del tér mino de 30 dias acudan ante el juzgado de dicho señor y escribanía del número del cargo de D. Pascual Secó, por medio de procurador con poder bastante, á usar de sus acciones en…</t>
  </si>
  <si>
    <t>Ro, Josef Antonio</t>
  </si>
  <si>
    <t>Josef Antonio Ro</t>
  </si>
  <si>
    <t>…z de los Ríos, del Consejo de S. M.„ teniente i.° de corregidor de esta muy. heroica villa, y escribanía del numero que égerce D. Anselmo Ordoñez, dada en éste .dia á solicitud de D. Josef Antonio Ro dríguez. Siuarez y Cerreda, escribano de S. M., y agente de-negocios que ha sido de lp, ipisma., se’ cita, llama y emplaza, con. término de 30 dias , á todas las .personas que lefhayati conferido¡sufe ¡poderés j y tenga'n qué liqiíldar cuentas con dicho Rodrí…</t>
  </si>
  <si>
    <t>Ro, Josef' Manuel’ de Escovedo'</t>
  </si>
  <si>
    <t>Josef' Manuel’ de Escovedo' Ro</t>
  </si>
  <si>
    <t>…os los tenientes coroneles D. Antonio y Don Felipe Ramos/ • , ; : ™ El Rey nuestro Señor se ha servido agraciar con la cruz de la Real'or den Americana de Isabel la Católica al Dr.D. Josef' Manuel’ de Escovedo' Ro dríguez de Olmedo , del Consejo de.S. &gt; su predicador,^inquisidor hono rario del tribunal de Valladolid, canónigo de la santa iglesia catedral de Segovia, en atención á los distinguidos méritos que ha contraido én América. S. M. el Emperador dé Austria, Rey A…</t>
  </si>
  <si>
    <t>Robleda, Manuel</t>
  </si>
  <si>
    <t>Manuel Robleda</t>
  </si>
  <si>
    <t>…*ó en una obra de la misma ciencia coa eYta íéyenda: Lá- Real sociedad aragonesa d Id aplicación, designándose eí nombre del agraciado. Todos lo recibieron de mano del muy ilustre Sr. Don Manuel Robleda en la ¡uiita geneíral érdínáríá de 16^ de Abril, quién les ex hortó éri uh breve y enérgico di$éur^or$;qtíé;cú^tÍlnuasén la* carrera empren dida con el mayor résbáTqúe esperaba les servirrá de éstíñmió aquella peque ña récbitipeñsá, lá dual i auriqué de pq|éó…</t>
  </si>
  <si>
    <t>Robles, Andrés Josef Amat y</t>
  </si>
  <si>
    <t>Andrés Josef Amat y Robles</t>
  </si>
  <si>
    <t>…e Málaga. De la de Galicia. - , A D. Basilio García Manrique, corregidor de Astorga. De la de Sevilla: A D. Juan Bautista Alberola, corregidor de Andujar. De la de Asturias. , ^ A D. Andrés Josef Amat y Robles, corregidor de Alearaz. í De' la de Aragón. A D. Fernando María López Sagredo, corregidor de Trujillo. v De la de Valencia. A D. Vicente Pedro Rebollo, corregidor de Orense. De la de Extremadura. A D. Juan María Ruano , corregidor de Chinchilla. Honores de oi…</t>
  </si>
  <si>
    <t>Robles, Francisco Martínez</t>
  </si>
  <si>
    <t>Francisco Martínez Robles</t>
  </si>
  <si>
    <t>…o de los opositores; y aprobada esta, vino S. M, en conferir, por Real orden de 1.8 de Abril último * las cinco primeras cátedras de agricultura en estos términos.: la de Toledo á D. Francisco Martínez Robles, la de SevijHa á D. Josef Lucio Perez, la de Burgos á D. Pascual Asensio, la de Léon á D. Josef Alonso Quintanilia,y la de Badajoz á!Df Julián de Luna* Y poste^riorniente en Real orden de i.° de Mayo próximo pasado se djgnó Sf ijl. CÓnL ceder en iguales térmi…</t>
  </si>
  <si>
    <t>Robles, Juan Miguel de</t>
  </si>
  <si>
    <t>Juan Miguel de Robles</t>
  </si>
  <si>
    <t>…e año, se cita, llama y emplaza á D. Juanf Antonio Cuevas, presbítero, y-capellán de la capellanía fundada en 1a-parroquia de S. Sebastian de la muy he rósea villa de Ma drid, y á D. Juan Miguel de Robles, capellán de la capellanía fundada en el con vento de S. Felipa el Real do la referida muy heroica.villa de Madrid; cuyas funda ciones están hechas por D. Rodrigo de Herrera y Ribera y Doña Brianda de Men doza, para que se presenten en el término preciso de 3…</t>
  </si>
  <si>
    <t>Robles, Matías</t>
  </si>
  <si>
    <t>Matías Robles</t>
  </si>
  <si>
    <t>…ga, refrendada del escribano de provincia y comisiones de la misma D. Manuel López de Rivas, en prosecución de las diligencias de subasta de to casa propia de la testamentaría dél Sr. D. Matías Robles» arcediano que fue dé Tole¿hvvde construcción moderna , sita, en la calle del Amor de Dios de esta corté, que hace esquina á la de tos Huertas, con fachada accesoria á la de Sta- María, se ñalada con el mím. 9 de la manz. 240 , comprensiva de 7233I pies cuadr…</t>
  </si>
  <si>
    <t>Roca, Josef Valls de</t>
  </si>
  <si>
    <t>Josef Valls de Roca</t>
  </si>
  <si>
    <t>…to Torio de la Riva 300. Núm. 5.0 Doña N. 40. Núm. 6° D. N. 121 rs. y 22 mrs. Núm. 7.0 D. M. Z. 320. Núm. B.° D. N.112. Núm. 9;° D N. 320 rs. y 24 mrs. Núm. 10. D. N. 100. Núm. n. D. Josef Valls de Roca 200. Nú mero 12. Doña N., viuda, 20. Núm. 13. D. N. 100. Núm: i4. D. N. 20. Nú mero 15. Doña Feliciana de Arza 120. Núm. 16. El brigadier Beza óo. Núme ro 17. D. Pablo Cabrero* y su esposa Doña Josefa Martínez 1300. Núm. ig. D. N. 60. Núm. 19. D. N. 40. Núm.…</t>
  </si>
  <si>
    <t>Roch, Timoteo</t>
  </si>
  <si>
    <t>Timoteo Roch</t>
  </si>
  <si>
    <t>…., atendiendo benignamente la exposición, se. dignó en 17 de Mayo de iBtó aprobar el proyecto que para este fin presentó el difunto brigadier é ingeniero en gefe de la Real armada D. Timoteo Roch. En consecuencia se dió' principio en 29 de Julio del año de 1816 d la construcción del muelle en la dirección N. S- á costa de la sola villa de Reus;, y á pesar de los pocos ingresos y sin.auxilio de presidio para ¿1 trabajo, la obra se halla en el día de la…</t>
  </si>
  <si>
    <t>Rodrí, Manuel</t>
  </si>
  <si>
    <t>Manuel Rodrí</t>
  </si>
  <si>
    <t>…rtaron con lá mayor bizarría los oficiales y tropa; pero particularmente recomiendo á V. S. de la de Huatusco al oficial y cabo heridos, y á los tenientes del batallón de Asturias D. Manuel Rodrí guez S. Pedro y D. V icente Foyo, y de la mía al teniente de cazadores de mi cuerpo, ayudante de esta división, D. Mariano Muñoz, y subteniente de la misma el teniente graduado D. Josef Ferrer, cuyos oficiales la cabeza de los cazadores, desalojaron á los ene…</t>
  </si>
  <si>
    <t>Rodríguez, Alejandro</t>
  </si>
  <si>
    <t>Alejandro Rodríguez</t>
  </si>
  <si>
    <t>…ó el primer maestro director D. Cayetano Fernandez Villamil. Fueron examinados en aritmética D. Juan Josef Dayovich , D. Angel Urzaiz, D. Bartolomé Martine?, D. Juan Antonio Novo, D. Alejandro Rodríguez , D. Francisco Santos, D. Francisco Calderón y D. Antonio Blanco. E11 geometría elemental el dicho D. Bartolomé Martínez, D. Manuel Barbet, D. Mañuél Díaz,'O. Ramón Pepn , D. Josef Rodríguez Romero y EX Fermín Pedregal. En geometría prác tica el referido Barb…</t>
  </si>
  <si>
    <t>Rodríguez, Antonio</t>
  </si>
  <si>
    <t>Antonio Rodríguez</t>
  </si>
  <si>
    <t>…ta del batallón del Sur, las qpe llegadas dispuse que saliesen conmigo, al.mando del teniente D. Mariano Guillen , y los fieles del Potpsí por el centro, por la derecha el alférez Don Antonio Rodríguez con su caballería, y por la izquierda el capitán graduado D. Ignacio Prieto, para que-cortados los enemigos por está caballería, pu diese la infantería obrar con libertad, á pesar.de la posición ventajosa que siempre acostumbran; mas la espesura de los bosque…</t>
  </si>
  <si>
    <t>…Barinas'donde sirve. :&gt; 1y Milicias de pardos de Valencia. Capitanes. D. Ramón Hidalgo, Don Casimiro Colon, D Fermín Pajdrázá, y D. Pedro María. ; Tenientes. D. Hilario Noguéras v D. Antonio Rodríguez y D. Josef Ama dor han sido confinmados en sus enipléos * y obtenido 1¿ nobleza personal.^ ■ - Capitanes de las guerrillas de Barinas. ‘ ©.'Francisco Xavier Palmero; Fue confirmado'cn su empleo con la nobleza personal y medalla de oro. : D. Teodoro García.Tue^confirmado en…</t>
  </si>
  <si>
    <t>Rodríguez, Cosme</t>
  </si>
  <si>
    <t>Cosme Rodríguez</t>
  </si>
  <si>
    <t>…. bien conocido ; pero no puedo1 menos de recomendar particular mente á los bizarros t). Mariano Peraza y D. Antonio Naranjo, tenientes de este regimiento; á los activos ayudantes D. Cosme Rodríguez y D. Luis de Aguado; al alférez de la séptima compañía D. Antonio Sandoval; al sargento primero Josef Serrano; al segundo Josef María Sierra; al cabo primero Josef María Pernálete; al de igual clase Antonio Amores, y á los dragones Josef Ortiz, Manuel'Paredes, Joséf Tovar, Pedro…</t>
  </si>
  <si>
    <t>Rodríguez, Diego</t>
  </si>
  <si>
    <t>Diego Rodríguez</t>
  </si>
  <si>
    <t>…l escribano de provincia Manuel Sánchez. 18. Escritura de imposición de censo sobre un oficio de regidor y unas casas sitas en la plaza mayor de la ciudad de Plasencia, que otorgó D. Diego Rodríguez, vecino y regidor perpetuo de la misma, en favor de Alonso de Ovejo-y sus herederos, á 26 de Octubre de 1633 ante el escribano del nume ro de dicha ciudad Francisco Nunez.</t>
  </si>
  <si>
    <t>Rodríguez, Josef</t>
  </si>
  <si>
    <t>Josef Rodríguez</t>
  </si>
  <si>
    <t>…o tribunal; advi'rtiendo que se le ha nombrado por curador al abogado ‘Carlos Veggezí, y que si en el término que se le preñja no hubiere noticia de él se le declarará por muerto. D. Josef Rodríguez, profesor de astronomía del museo de Ciencias, em pezará el 2 de Diciembre sus lecciones en una de las salas del gabinete de Historia Natural á las 12 de la mañana, y las continuará todos los martes, jueves y sábados de cada semana. En estas lecciones expondr…</t>
  </si>
  <si>
    <t>Rodríguez, Josef Ramón</t>
  </si>
  <si>
    <t>Josef Ramón Rodríguez</t>
  </si>
  <si>
    <t>…Se halla vacante el partido de médico de la villa de Lanciego, en la Rioja ala vesa, población de 150'vecinos, y dotación de. 5500 rs. Los interesados dirigirán sus pretensiones á D. Josef Ramón Rodríguez, vecino de dicha villa, por Miranda de Ebro. La lira, de Apolo, periódico de música d.edicado ¿ las damas, segundo año. La buena acogida que ha merecido este periódico á los aficionados y profesores del arte encantador de la música durante el primer año de su…</t>
  </si>
  <si>
    <t>Rodríguez, Josefa Cordilla y</t>
  </si>
  <si>
    <t>Josefa Cordilla y Rodríguez</t>
  </si>
  <si>
    <t>…de la Maderá alta, núm. 11 , de ia man?. 463 , á instancia de D. Blas Menen— dez , 'dueño actualmente de ella, y la cual perteneció antes á la viuda de D. Tuís García dé Lorgoria Doña Josefa Cordilla y Rodríguez: se ha tasado por el arqui tecto D. Júañ Bautista Cuervo en la cantidad de 17, *45 rs. , de cuya suma ha de rebajarse la carga Real de aposento, farol y sereno: qiéén qimiéfe hacer postura acu da ante dicho señor y pitada escribanía, que se le admitirá la que…</t>
  </si>
  <si>
    <t>Rodríguez, Lorenzo</t>
  </si>
  <si>
    <t>Lorenzo Rodríguez</t>
  </si>
  <si>
    <t>…ero D. Juan Raya. En virtud de providencia del Sr. D. Ramón Satúe, del Consejo de S. M., su al calde de Casa y Corte, se cita, llama y emplaza á Josef Rodríguez , hijo legítimo de D. Lorenzo Rodríguez y de Doña Hemeteria Celedonia Sanz,difuntos,que fueron ve cinos del Real sitio de Aranjuez, para que en el término de 30 dias, contados desde 6 del corriente, comparezcan en la audiencia de S. S. y por la escribanía de provincia, vacante, que sirvió últimamen…</t>
  </si>
  <si>
    <t>Rodríguez, Luis</t>
  </si>
  <si>
    <t>Luis Rodríguez</t>
  </si>
  <si>
    <t>…V . . . ; ' fie dado, 5duepta .;a1|.;;B?E.Y .nuestro; Señor del oficio, de ,V. E. de'iy de.? Julio ultjmo, 901}: qpe;|m^ pa^d el que le había dirigido el teniente de. artille ría D. Luis Rodríguez * solicitando como fiscal de una causa que está forman do en Málaga á D. Dqmingo Araujo Costa, que se reciba declaración sobre varios particulares, á Di. Ignacio Chano, oficial archivero del departamento de Ipdias déda&lt; secretaría de Estado y del Despacho de…</t>
  </si>
  <si>
    <t>Rodríguez, Manuel</t>
  </si>
  <si>
    <t>Manuel Rodríguez</t>
  </si>
  <si>
    <t>…contuso; D. Be* nito Boves y D. Francisco Sainz; los tenientes D. Hilario Noguera; D. Juan Bolet, D. Josef Antonio García y D. Benito Ostos; los subtenientes D. Fran cisco Bolet y D. Manuel Rodríguez; los sargentos primeros Agustín Luqué y Pascual Soto, y los segundos Pedro Heredia y Paz Perez, distinguiéndose es tos individuos én todos los actos en que eran mondados, animando con su egemplo á la tropa, y deseando á porfía ser empleados en los destinos df…</t>
  </si>
  <si>
    <t>Rodríguez, Miguel</t>
  </si>
  <si>
    <t>Miguel Rodríguez</t>
  </si>
  <si>
    <t>…sencia* de dos .'consiliarios comisiónados* al efecto ¡y (de los expresa dos profesores; y la junta, con vista de las censuras de; cada uno, adjudicó los dds premios de^ 5 pesos á D. Miguel Rodríguez y; D.Josef Agustín de Larrinaga: ios dos segundos: de/35 á D. Diego. González y DL Joaquín Gal lo, médknté; haberle: tocado en suerte^con D¿ Josef, Bautista! de Larrlnafgá;; por igualdad de censura; é igualmente resolvió la junta que se distribuyan vario* lib…</t>
  </si>
  <si>
    <t>Rodríguez, Ramón</t>
  </si>
  <si>
    <t>Ramón Rodríguez</t>
  </si>
  <si>
    <t>…la ultima guerra. Por otra de 22 del mismo mes, y por igual causa , se ha servido S- M. con ceder el fuero militar y uso de uniforme de segundo ayudante de farmacia de egército á D. Ramón Rodríguez, residente en el Fenol, y á D. Benito Ontiveros , residente en la villa de Velez-BIanco, reino de Murcia: el fuero mi litar y uso de uniforme de practicante de la misma facultad á D. Juan Agus tín González, residente en la villa de Poza, provincia de Burgos;…</t>
  </si>
  <si>
    <t>Rodriguezí, Juan</t>
  </si>
  <si>
    <t>Juan Rodriguezí</t>
  </si>
  <si>
    <t>…Aprobado en su empleo de teniente, y Don personal. . Segundo ayudante de cirugía del egército. D. Tomas Carrillo. La no bleza personal. ■ ; , .! Segundos practicantes de cirugía. ?D. Juan Rodriguezí La nobleza per sonal. D. Francisco Ortega, ídem; y D. p,áinori Rodríguez, ídem. Escuadrones de guias del general 4ue han sido aprobados 'en sus em pleos. Capitanes. Pedro Villasana y Maximiliano González. Tenientes. Fabian Figueredo y Jos.ef&lt; ^oron, , Alféreces.…</t>
  </si>
  <si>
    <t>Rodulfo</t>
  </si>
  <si>
    <t>…a y materna. También había estado enlazada esta casa con todos los Soberanos de la cristiandad. . Se ha diferido para el domingo 26 Ih ceremonia de la. consagración de S. A. I. el cardenal Rodulfo en calidad de obispo, que debía verificarse-maña na 19, y se suspende por hallarse él Príncipe ligeramente indispuesto. Idem 24. Ayer tuvo la hoirírá^ dé presentar sus credenciales'al Emperador én audien cia particular el conde dé Schülémburg-Glósterródé* emb…</t>
  </si>
  <si>
    <t>Rogers</t>
  </si>
  <si>
    <t>…comprueban la fuerza del vapor aplicado á los buqueá de grandes dimensiones, pues el de que se trata es de porte de 3^0 toneladas. Llámase el Sarvannah , procedente de América* su capitán Rogers. Salió de Savannab el i 216 de Mayo ,&gt;rl legó al canal de la Mancha cinco dias hace, y durante su navegación ha hecho uio de la máquina 18 dias. Tiene hermosa construcción; está perfectamente disjpueste* para comodidad de los pasaderos, y es el primer buque d…</t>
  </si>
  <si>
    <t>Rojaho, Miguel</t>
  </si>
  <si>
    <t>Miguel Rojaho</t>
  </si>
  <si>
    <t>…manejaron á mi satisfac ción, los recomiendo á V. S. individualmente. „ También recomiendo á V. S. al teniente D. Antonio Marquezy de: Lo bera, y al alférez de dragones de Moneada D. Miguel Rojaho, que égerCeii funciones de ayudantes de la división, pues ia actividad.que han tenidosiempre , y la que observaron el dia de la acción es digna de especial elogio, por lo que- los he nombrado con particularidad.. ,, Son también acreedores á la recomendación d…</t>
  </si>
  <si>
    <t>Rolando</t>
  </si>
  <si>
    <t>…y, como ya lo van efectuando á consecuencia de mis proclamas y demas medios políticos, revestidos del rigor cuando las circunstancias lo exigen.--» Con motivo de ha ber mandado al coronel Rolando con dos compañías en observación y auxilio de Mohóza, con noticia del movimiento de Chinchilla y su indiada, luego que este tuvo conocimiento de ello desde Palca, se arrojó con la cholada á Tapacarí á las tres de la mañana del 15, haciendo un movimiento rápid…</t>
  </si>
  <si>
    <t>Román</t>
  </si>
  <si>
    <t>…es prefija y señala/acudan á deducirle' en.fojma pord.ó.,por. medio de procurador, con poder bastante, ante.dicho señor y escribanía de Cámara del mismo supremo Consejo á cargo de D. Román. Lorenzo</t>
  </si>
  <si>
    <t>Román, Ana</t>
  </si>
  <si>
    <t>Ana Román</t>
  </si>
  <si>
    <t>…tura de'censo perpetuo de dos ducados y dos gallinas cada; a ño sobre unas casas en la calle del Leal, que se reconocieron por Bernardo Serra no de Físueroa, mercader de libros, y Doña Ana Román su muger, y en 2 de Diciembre de 1718 le reconocieron dicho-censo D. Jacinto Matías de Sabalza y Doña Isabel Román su muger, ante Jacobo Ramos Taboada. 17. Un apeo, deslinde y demarcación y amojonamiento á solicitud de la Excma. Sra. marquesa de Mejorada, .re…</t>
  </si>
  <si>
    <t>Román, Francisco</t>
  </si>
  <si>
    <t>Francisco Román</t>
  </si>
  <si>
    <t>…Larrlnafgá;; por igualdad de censura; é igualmente resolvió la junta que se distribuyan vario* libros é instruméntos ípbir ei valor de :3o ¿ 40 pesos entre D,-Antonio Rodrí guez y D. Francisco Román , que; sobresalieron en la referida oposición , ani mándolos de esie modo¡i.continuar con aplicación en sus tareas, á fin de que la hospitalidad y el publicó.logren excelentes profesores en lo sucesivo. : o: n íl flCULé*r-|. , f! DE OFICIO. T&gt;sb:ji &gt; ’wM ■: r…</t>
  </si>
  <si>
    <t>Román, Josef</t>
  </si>
  <si>
    <t>Josef Román</t>
  </si>
  <si>
    <t>…llería , á quien mandé avanzar luego que avisté los enemigos; y al instante, siguiendo ai pri mero, al capitán D. Tomas Suero con su caballería de fieles del Potosí., y al eapitan D. Josef Román con la infantería de Nueva-Éspaña, mandando las dos partidas anteriores, puso en fuga á los rebeldes; y yó, que á la vista de estos movimientos estaba con la reserva, destiné sin perder momento al te niente cor onelíD. Juan Madrazo con su caballería á'sostene…</t>
  </si>
  <si>
    <t>Romani, Ramón</t>
  </si>
  <si>
    <t>Ramón Romani</t>
  </si>
  <si>
    <t>…2; 375,280 y 376,744; todos los cuales salieron renovados en cabeza de D, Pedro Armengol, y por este fueron endosados con fecha en Barcelona á 7 de Abril del propio año á favor de Don Ramón Romani: después de diferentes endosos el último del primer vale lo fue en Madrid á 10 de Abril de 181 r por D. Ramón de Angulo á Doña Manuela Olavarria; el segundo por Q. Manuel López Maestre en Madrid á 27 de Mayo de 1814 á D. Alejandro Josef Amirola; el tercero po…</t>
  </si>
  <si>
    <t>Romano, Vicente Ródrigiiez</t>
  </si>
  <si>
    <t>Vicente Ródrigiiez Romano</t>
  </si>
  <si>
    <t>…ncisco Xavier Esterripa, á D. Fran cisco Xavier Manzanos: para la plaza de alcalde del‘Crimen de la Real au diencia de Lima » vacante por fallecimiento de D. Manuel de Irigoyen, a D. Vicente Ródrigiiez Romano: para la alcaldía mayor de Nata, en la pro vincia de Panamá, vacante por cesación de D. Víctor de la Guardia, á Don Julián María Bergído: para el corregimiento del Asiento de Ambato, en la presidencia de Quito , al coronel graduado D. Jorge Ricaurte: para la…</t>
  </si>
  <si>
    <t>Romano, Vicente Rodríguez</t>
  </si>
  <si>
    <t>Vicente Rodríguez Romano</t>
  </si>
  <si>
    <t>…audiencia de México, vacante por traslación de D. Miguel Ramón Modet, i D. Juan Josef Recacho: para Ja fiscalía del crimen de .la Real, audiencia.de Quito, vacante por ascenso de D. Vicente Rodríguez Romano á -la.-déalcalde del crimen de la de Lima, á D. Eugenio. Batanero: para la iplaz'ade gsesor del gobierno é intendencia de Qúamanga á D-. Mariauo Josef de Tapia y'Velarde para la plaza de te niente asesor dél gobierno é intendencia del Cuzco, vacante por promo…</t>
  </si>
  <si>
    <t>Romarate, Bernarda</t>
  </si>
  <si>
    <t>Bernarda Romarate</t>
  </si>
  <si>
    <t>…ha tenido noticia de su paradero: se suplica á la persona que tuviese noticia de ellos se sirva avisarlo en la calle de S. Miguel, num. 17, cuarto segundo, que es donde vive dicha Doña Bernarda Romarate. Se halla vacante el partido de médico del lugar de Navahermosa, en la provincia montes de Toledo: su vecindario es de 500 vecinos, su dotación fija anual es de rs. pagados puntual y mensualmente por la Justicia; casa de balde, y libre de contri bución, y el…</t>
  </si>
  <si>
    <t>Romarate, Pedro</t>
  </si>
  <si>
    <t>Pedro Romarate</t>
  </si>
  <si>
    <t>…ate, natural de Bilbao y residente en Madrid, de sea saber el paradero de sus dos hermanos D. Carlos^ y D.-Bernardo Antonio Roma rate, naturales de dicha villa de Bilbao, hijos de D. Pedro Romarate y Doña RamonaMendiola Beitia: hace 21 años que salieron para América, y desde entonces no se ha tenido noticia de su paradero: se suplica á la persona que tuviese noticia de ellos se sirva avisarlo en la calle de S. Miguel, num. 17, cuarto segundo, que es donde vive dicha Doña Bernarda R…</t>
  </si>
  <si>
    <t>Romeral, Carlos</t>
  </si>
  <si>
    <t>Carlos Romeral</t>
  </si>
  <si>
    <t>…to D. Manuel Atranz en Zaragoza; el de Ardales ÍX Juaq de .la Monja en Málaga ; el.de. Caldas de Cuntís y de Reyes D. Jacobo nuel Fernandez en éste último punto; el de Puertollano D. Carlos Romeral en esta corte , calle de..la Cruz ,• núm. 2 ;.el del Molar D. Tomas Bermudez calle de las Huertas, frente á la del Lobo; el de Solan defCabras.D..Joséf M enchero calle de la ( aíyá baje, rium. 25; el de Sacedon D. Marcelino Sauz en la misma villa; él de Alcan…</t>
  </si>
  <si>
    <t>Romero', Pedro Leandro</t>
  </si>
  <si>
    <t>Pedro Leandro Romero'</t>
  </si>
  <si>
    <t>…esperanzas de- sus mismos catedráticos*, y1 llenado de satisfacción y placer ádos Varios sugetos particulares que han tenido la bondad de concurrir á. estos actos, los opositores D. Pedro Leandro Romero', que'discutió el punto de v, si se diabia ya cumplido el lisonjero presentimiento de Boheraave acerca del hallazgo de un antídoto para la curación dé Iá "rabia, ó. sí era preciso tra bajar aun para buscarlo”; D. Antonio García Pozo, que disertó sobre ,,si en…</t>
  </si>
  <si>
    <t>Romero, Francisco</t>
  </si>
  <si>
    <t>Francisco Romero</t>
  </si>
  <si>
    <t>…omas, vecinoxie la ciudad de Tarragona: á D. Josef Casalins, cirujano de la villa de Valls, en el principado de Cataluña: á D. Mauro del .Prado, re sidente en la ciudad de León: á D. Francisco Romero,, cirujano del mteblo de Castejon de las Armas, en el reino de Aragón; y á D. Bernardo María Belety(, cirujano titular de Villanueva déla Serena, en la provincia de Ext ¿remadura. Y por otras de la misma fecha se ha servido conceder el fuero militar y «so de…</t>
  </si>
  <si>
    <t>Romero, Francisco Martínez</t>
  </si>
  <si>
    <t>Francisco Martínez Romero</t>
  </si>
  <si>
    <t>…u augusta Esposa, penetrados todos del mas amargo dolor , acordaron Ja publicación de los lutos, y da celebración de las Reales exequias, comisionando á este fin á los capitulares D. Francisco Martínez Romero y D. Mauro Sánchez y La go , regidores perpetuos de la misma , los cuales dispusieron inmediatamente la publidSéion do los-lutos con la mayor solemnidad, y tomaron las disposieioñes'convenientes para.'que las Reales exequias se celebrasen con la misma. En efecto se erigió en el…</t>
  </si>
  <si>
    <t>Romero, Manuel</t>
  </si>
  <si>
    <t>Manuel Romero</t>
  </si>
  <si>
    <t>…S. muy especialmente. 7 ,,Los. tenientes de Ordenes militares D. Francisco Levoreiro y D. Patita— Jeon Guerra, y subteniente Dv Josef Aguiar; los tenientes de dragones deGuadálupe D. Manuel Romero y D. Manuel Antonio Cacho, y los alféreces de dragones fieles de, Moneada y Guadalupe I&gt;: Ignacio Zorzano, D. Francisco Flores y Dw Josef Ignacio Castillo son los oficiales que fueron con lós pique tes que compusieron la partida, y porque todos se manejaron á mi satisfac ción, los rec…</t>
  </si>
  <si>
    <t>…a podrá seguir con aprovechamiento esta segunda parte, independiente de la primerái A R 'i I ic v O F I C I ; S. M. se ha servido conferir la cpmándancia del resguardo de Manila á D. Manuel Romero1, cápitadi agregado ál regimiento infantería de 1* Corona. El Rey nuestro Señor, á consulta de la Junta general de Comercio y Mo neda1, se, ha servido: conceder á J). Tomas Suarez , vecino de la ciudad de Málaga, en prueba del aprecio que le ha merecido.¡su a…</t>
  </si>
  <si>
    <t>Romero, Pedro</t>
  </si>
  <si>
    <t>Pedro Romero</t>
  </si>
  <si>
    <t>…en la de D. Bernardo Bd^tip’enGranada en 'la del Dr. D. Manuel Lope? Mateos; en Málaga en la del T&gt;r. D., Jaime Alibau;.en Vigo en la del Dr: D. Julián Perez; en Santiago én la de D. Pedro Romero; enójense en la de D. Joaquin Vallverdu; en Betanzos en la, del Dr. D. Rosendo Fariñas;,-en ALcarjtjz en La de D. Ramon Villalba; en Caíatayud en ia de D. Lorenzo Gano Beirran; en Un Castillo en la de D. Paulino Gil; en Jaca en la de D. Josef Mora ; en Teruel…</t>
  </si>
  <si>
    <t>Romero, Sebastián</t>
  </si>
  <si>
    <t>Sebastián Romero</t>
  </si>
  <si>
    <t>…rela , D. MañuefRodríguez Campo , D; Manuel-García, D. Pedro Ochoa, D. Francisco Herrera, D. Joaquín Meana .y D. Miguel Arrimada. En la tercera D. Josef Gutiérrezp. Carlos Santo,- D. Sebastián Romero, D. Antonio Medinilla, D. Juan Meáha y D. Francisco Bragne. En la cuarta y última D. Federico Rodríguez Campo, D. Josef Maurelles, P. Sebastian Ximenez, D. Josef Alvarez, D. Bernardíno Marru^mñ .y D. Luis" Alvarez. ... . Sanhícar d^ Bárrame da 24 de Mayo, En…</t>
  </si>
  <si>
    <t>Ronci, Melchor</t>
  </si>
  <si>
    <t>Melchor Ronci</t>
  </si>
  <si>
    <t>…promovieron autos ante el corregidor que á la sazón era de está muy heroica villa, á Instancia de D. Bernardo Alvarez Acero, maestro de mú sico de los teatros dé la misma, contra D. Melchor Ronci y D. Joaquín de Cifuen tes, su socio,sobre pago de 25,687 rs. y 28 mrs. de vn. que aquel reclamaba de estos por las mesadas de Enero y Febrero de 1802 , que satisfizo á los profesores que com ponían la orquesta del teatro de los Canos del Peral, de que eran empresarios Ron ci y Cif…</t>
  </si>
  <si>
    <t>Rosa, María</t>
  </si>
  <si>
    <t>María Rosa</t>
  </si>
  <si>
    <t>…cantidad ascendía su valor, ni cuáles eran sus números; pero no se duda que era cosa de consideración, y que los endosos serían á favor del m:srr¡o D. Antonio, ó de su madre viuda Doña María Rosa; y como ha podido acontecer que éstos vales sé extraviasen de la casa del difunto, ó del párage donde</t>
  </si>
  <si>
    <t>Rosado, Josef Xavier</t>
  </si>
  <si>
    <t>Josef Xavier Rosado</t>
  </si>
  <si>
    <t>…la Real Casa y Corte, -comisionado al efecto por el mismo supremo tribunal. Núm. i.° Un testimonio de venta y nueva imposición de censo al redimir y quitar , que otorgaron el Lie. D. Josef Xavier Rosado, cora propio de la iglesia parroquial de Sta. Alaría del Castillo de la villa de Buitrago, como capellán de la que mandó fundar el limo. Sr. D. Melchor de Liñan y Cisneros, arzo bispo que fue de la ciudad de Lima, por una parte, y de la otra Juan Gar^« cía, v…</t>
  </si>
  <si>
    <t>Rosales, Manuel de</t>
  </si>
  <si>
    <t>Manuel de Rosales</t>
  </si>
  <si>
    <t>…espacho de Gracia y Justicia, y D. Anastasio Francisco de Arraenteros, brigadier de los Reales egércitos. Mayordomos de Semana. A D. Joaquín Montenegro; D Santiago Mendez de Vigo; D. Manuel de Rosales; D. Indalecio de la Torre; conde de Zanoni, y D. Luis Nieulant y Altamirano. Honores de secretarios del Rey. A D. Josef de la Torre y Sainz, y D. Francisco Blasco y Tejedor. Plazas supernumerarias de gentileshombres de la Real casa. A D. Manuel Sainz de la Ma…</t>
  </si>
  <si>
    <t>Rosambo, Pelletier</t>
  </si>
  <si>
    <t>Pelletier Rosambo</t>
  </si>
  <si>
    <t>…un mensage. Asimismo nombró la Cámara una comisión de cinco individuos, que son Ips señores marques de Fontanes, marques de Pastoret, vizconde de Montmorency, marqueS.de Tfllaru y vizconde Pelletier Rosambo, para extender !a respuesta al discurso del Rey. Se eligió por suerte .otra comisión, formada de los señores-marqiles de Laplacg, vizconde de,Rosambo. y conde Julio ,Polignac }í para reconocer durante la sesión los títulos qug,presentó el conde Lecputeuíx de…</t>
  </si>
  <si>
    <t>Rosario, María del</t>
  </si>
  <si>
    <t>María del Rosario</t>
  </si>
  <si>
    <t>…Madrid sabio é imparcial vio el buen orden y esmero con que. se hicieron estos exámenes, y el acierto con que en lo general contesta ron las niñas; pero sobre todas se distinguió Doña María del Rosario. Alon so, de edad:dé í&amp; años, del barría de Buénadicha, disctpüla de D. Francis co Lercar., maestro Real del barrio de Afligidosesta niña presentó un papel con diferentes clases;de letra tan hermosa, con tal gallardía y perfección,, que admira á cuantos la vi…</t>
  </si>
  <si>
    <t>Roselló, Bartolomé</t>
  </si>
  <si>
    <t>Bartolomé Roselló</t>
  </si>
  <si>
    <t>…l fuego de la infantería y caballería, y despees de haberlos rechazado y reconocido su fuer za , hice salir una guerrilla de infantería á cargo del bizarro subteniente de Zaragoza D. Bartolomé Roselló, y dos de caballería, al de los alféreces de Sierragorda D. Dionisio Esquivel y el de realistas D. Eugenio Torres, para que ios tirotearan en la posición que habían ocupado. Luego que vieron sepa radas las guerrillas de la columna volvieron á repetir otra car…</t>
  </si>
  <si>
    <t>…uve el honor de mandar es digno de la alta consideracíon del superior Gobierno, y muy particularmente los bizarros y valientes de Zaragoza teniente D. Manuel de Lara-y subteniente D. Bartolomé Roselló, el alférez de dragones de Sierragorda D. Dionisio Esquível, y el cabo del mis mo cuerpo Miguel Hernández, alférez de realistas D. Eugenio Torres, sargen tos Josef Guzman, Mariano Ríos , Josef Osorno, Hilario Godoy, Manuel Colín, y el voluntario D. Felipe Tin…</t>
  </si>
  <si>
    <t>Rosenmuller</t>
  </si>
  <si>
    <t>…DEL SABADO 10 DE ABRIL DE 1819. PRUSIA. Leipsick i.° de Marzo. De un año á esta parte se ha formado aquí una asociación dedicada al es tudio de las ciencias bajo la dirección del profesor Rosenmuller; se ha dado nuevo plan al teatro^ anatómico, y concurre un gran número de discípulos al instituto filosófico dirigido por los célebres profesores Beck y Herrman, de cuyo establecimiento salen buenos literatos para los gimnasios de diferentes países de Alemani…</t>
  </si>
  <si>
    <t>Rosetti</t>
  </si>
  <si>
    <t>…Jabeque Soledad, patrón Mariano Ferrer, español, de Cádiz, en lastre. 46. Laúd Sto. Cristo del Grao, patrón Andrés de Torres, español, de Cádiz, con azúcar y cacao. 47. Bergantín barón Rosetti, pa trón Tomas Crolleta, imperial, de Odessa, con trigo, 30 dias de cuarentena. 48. Bergantín Virgen de S. Andreu, patrón Jorge Casweri, ingles, deConstantinopla, con trigo, 30 idem. 49. Polacra Sociedad, patrón Josef Mojovich, austríaco, de Odessa, con trigo…</t>
  </si>
  <si>
    <t>Ross</t>
  </si>
  <si>
    <t>i8 GRAN BRETAÑA. Lóndres 18 de Diciembre, El descubrimiento de una nueva colonia en la costa septentrional de la ba hía de Baffin lia dado margen á una muttitud de opiniones. El capitán Ross ha prometido publicar sobre este asunto una obra que nos suministrará las noticias mas importantes y exactas: entre tanto creemos que serán de algún interes las siguientes observaciones hechas á consecuencia de varias conversaciones tenidas con algunas person…</t>
  </si>
  <si>
    <t>…te de la nieve , de donde infirió que seria efecto de excrementos de pajáros, sin embargo de que no te nia entonces noticia de la multitud de ellos que existe en aquella parte. El capitán Ross ha traído de la bahía de Baffin , entre otras curiosidades, Cuatro perros y dos perras: tres son casi negros , uno blanco y negro, y dos pardos: ios machos son mas grandes que las hembras. Todos ellos parecen de la misma especie que los perros de Kamchatka: t…</t>
  </si>
  <si>
    <t>…estuvo muy ale gre, le dio un accidente, y espiró al instante. ¡ . j -y* ■ - ’■ "gí . . Ident 2$. ■■■ - ' &gt;&gt; Conocemos que son muy fundados los graves cargos que se han 'hecho di capitán Ross,.en orden á la precipitadcm con-que abandono la empresa del descubrimiento de un pasó de comunicación por ei N. O: entre los mares At lántico y Pacífico, precisamenteicuando se le había presentado mejor ocasión que nunca para verificarlo. Se dice que lo hizo…</t>
  </si>
  <si>
    <t>…hacer descubri mientos, compuesta de ios buques ílecla y Griper, ha llegado , según las no ticias que se han recibido, á ios 86 grados de latitudes decir á la misma al tura que el capitán Ross. En la bahía de Baffin han encontrado estos activos navegantes una inmensa extensión de hielo que parecía haberse formado sobre una peña sólida, y á la parte del. norte de la misma-extensión presentaba el mar la singular perspectiva de un g/an lago absolutame…</t>
  </si>
  <si>
    <t>Rotaeta, Manuel de</t>
  </si>
  <si>
    <t>Manuel de Rotaeta</t>
  </si>
  <si>
    <t>…por medio de procurador, con poder bastan te, á evacuar el traslado que lejba conferido de la demanda que en 15 del mes últi mo le ha puesto Doña María Angela de Olloqui, viuda de D. Manuel de Rotaeta, vecina de la villa de Bilbao, como heredera dé Doña Dorotea de Barandica , sobre que se declare la corresponde como tal él referido vale, y quefen su consecuencia se mande renovar en su cabeza para que asi se la entregue, pues si lo hiciere se le oirá y guar…</t>
  </si>
  <si>
    <t>Rothwell</t>
  </si>
  <si>
    <t>Erar ira sheríff en fugardeMr-Thompson , que rehusó admitir esté empleo, y recayó la elección .«i el magistrado Rothwell. Et lord corregidor se retiró después de haber declaradof según costumbre, disuelta la asamblea; pero á pesar de elhrpermaneció reunida &gt; manifestando á S. S. al tiempo de despe dirse las señales menos equívocas de la desaprobación que le merecía su conducta*…</t>
  </si>
  <si>
    <t>Roussin</t>
  </si>
  <si>
    <t>466</t>
  </si>
  <si>
    <t>…mapas de algunas de ellas no se'habían! hecho por rigurosas medidas geo métricas. • i.’- • 'í Por Enero de 1817 salieron la corbeta Hayadera yelbergamimG-tí/^á*. ías órdenes, del capitán Roussin ; y habiendo llegado á ¡Stai Cruz de Ofenerife* dieron..principio á sus operaciones hidrográficas, á. pesar de los obstáculos y *, peligros que encontraban por. todas partes. - *. , v * ^ " » Casi en todos los tiempos del año hay en aquella costa una niebla m…</t>
  </si>
  <si>
    <t>…tijl6s; y el úl timo coatiene útilísimas instrucciones sobre la derrota qué se liar de seguir yendo de Francia al Senegal y á ¿torea, yparavdlver- del Senégal á Francia:f El mismo capitán Roussin salió dé Rochefort el día 14 dé Febrero'dé este año comisionado para otras nuevas' observaciones hidrográficas. Un mes después que el tomo 3-2-se ha publicado el 33 del Diccionario1 de ciencias médicas, de suerte que en un año han salido' i o volúmenes !de' e…</t>
  </si>
  <si>
    <t>Roux</t>
  </si>
  <si>
    <t>866</t>
  </si>
  <si>
    <t>…sJnen un indio:.los dos tienen.una fiso nomía muy animada, y manifiestan Ibuenas disposiciones. 'Vienen .enviados por sus ¡padres án educarse en.esta capitalfbájo la dirección dél caballero Roux. ; ]E1.4e.del .corriente JlegÓ.á íHéilbron ¿el Rey de Wurtemberg, y después de'habér ‘reconocido lasdbrásdel canal del.rio Necker y .revistado vunregtiiijientodéiinfáiitería, se réstitüyó á Stuttgatdt. ; v TLosdiferentes Príncipes Soberanos de la ‘Saxoriiadti…</t>
  </si>
  <si>
    <t>Roy, Pasquier y</t>
  </si>
  <si>
    <t>Pasquier y Roy</t>
  </si>
  <si>
    <t>…s elevada gerarquía. FRANCIA. V ' . . . " . ( ; París 12 de Noviembre, Ayer fueron presentados al Rey por el conde Decazes los nuevos minis tros del Interior y de Hacienda señores barón Pasquier y Roy, quienes hi-</t>
  </si>
  <si>
    <t>Royo, Josef</t>
  </si>
  <si>
    <t>Josef Royo</t>
  </si>
  <si>
    <t>…Núm. 406. D. N. N. y Doña N. N. 300. Número 407. Don Pablo Diez t 20. Núin. 408. Los testamentario^ de Doña María de los Ange les Barcenilia 1500. Núm. 409. D. D. N. 6o- Núm. 410. D. Josef Royo en metálico 22 rs. y 12 mrs , y 2077 rs. 25 £ mrs. en intereses de vales Reales. Núm. 411 D N. 60. Núm. 412. Eí Excmo. Sr. conde de Sámago 400. Nú mero 413. D F. D. C. M. 271. Núm. 414. D. D N. 200. Núm. 415. Don N. r6o. Núm 416 D. Manuel de Zaldivar 100. Núm…</t>
  </si>
  <si>
    <t>….-587. El limo. Sr. dé-an y cabildo de la santa iglesia eatedral de Málaga 1500. Núm. 588. El cabildo de escribanos de número.de&gt; Madrid 1©. Núm. 589* Un bienhechor 190. Núm. 590. D. Josef Royo, por el producto de los recibos de interesas de vales que: cedió (véase núm. 410),. 42 rs. y 8 mrs. Núm. 591. El gobernador, ayuntamiento , clero y vecinos: de la ciudad de'Peñíscola 366. Nutn. 592. Doña,Tr Q. 60. Núm. 593. Don, A. L. G., por el producto de r…</t>
  </si>
  <si>
    <t>Royo, Juan Eiizaide y</t>
  </si>
  <si>
    <t>Juan Eiizaide y Royo</t>
  </si>
  <si>
    <t>…dez, D. Aniceto Calvez, de Pedro, D.¡Juan Lacemba y Víale, Don Santiago Posadillo y Chavarri, D Rafael Sentistillano y Pescio, D. Luis Basols y Marañosa, D. Josef Pezuela y Heres, D. Juan Eiizaide y Royo, ,D. Diego Guerrero y Sedaño, D. Julián Velarde y Santillan, D. Josef Abev11a y Conde, D. Juan Teran y Caldera , D. Juan DFIerve y Paredes, Don Francisco Navas Garro de Ulloa, D. Antonio Solís y González, D. Julián Giraldo y Molina, D. Joaquín Muñoz y Larraiñ…</t>
  </si>
  <si>
    <t>Rozas, Josef Perez</t>
  </si>
  <si>
    <t>Josef Perez Rozas</t>
  </si>
  <si>
    <t>…en de Granada. A D. Josef Francisco Morejon de León. fiscal del Crimen, de la misma. A D. Gaspar Josef de Aguilar, abogado de dicho tribunal. Fiscal del Consejo Real de Navarra. A D. Josef Perez Rozas, corregidor de Logroño. Oidor de la Real audiencia de Sevilla. A D. Alvaro Pareja, oficial de la,, secretaría de Estado y del Despacho de Gracia y Justicia de Indias. Alcalde de i Crimen de la misma. A D. Ignacio Guseme, alcalde del Crimen de la chancillería…</t>
  </si>
  <si>
    <t>Rozas, Josef Perez de</t>
  </si>
  <si>
    <t>Josef Perez de Rozas</t>
  </si>
  <si>
    <t>…..son indiferentes las distin guidas gracias dispensadas á. esta escuela de dibujo, por la piedad augiisfa de S. M., ni la infatigable protección con que la fomenta el corregidor D. Josef Perez de Rozas , .fiel imitador del supremo celo, del Soberano.. ; ■ j r.- : ;r U Cí.* -&gt;'• &gt;VergáM 2$ de Julio, &gt;-j ■'» ,-.-;2ví En cumplimiento;Üédó'que previenen las ordenanzas de este&gt; Real sema nario de Nobles iseicelcbraraiilos exámenes de,fin de .cursa j: emptzandoi&lt;…</t>
  </si>
  <si>
    <t>Rozas, Jqsef Perez de</t>
  </si>
  <si>
    <t>Jqsef Perez de Rozas</t>
  </si>
  <si>
    <t>…los síntoipas, de .pna.próxinia muerte* Estándosele suministrando los auxilios espiri tuales, destituido ya de toda esperanza de vida, se presentó el corregidor de la misma}ciudad D. Jqsef Perez de Rozas, acompañado de dos escribanos y sus alguaciles; y habiendo; mandado trasladar al herido al hospital para su debido recpaqciípjeptpi&gt;;bíz%f;(?mparecer.aL cirujano titular de la ciudad, quien inspeccionó . la ñerida* ,y asimismo la halló. mortal. En este estado…</t>
  </si>
  <si>
    <t>Rraganza, María Isabel de</t>
  </si>
  <si>
    <t>María Isabel de Rraganza</t>
  </si>
  <si>
    <t>…ito del Pera D._ Josef de la Serna.” Vefer de la Frontera jo de Marzo. Recibida por el ayuntamiento de esta villa la infausta noticia del falleci miento de la Reina nuestra Señora Doña María Isabel de Rraganza acordó celebrar las fúnebres exequias, para cuyo acto fue .señalado el jueyes 4 de este mes, designando para él la iglesia mayor parroquial de S. Salvador;; y habiéndose igualmente comunicado al ayuntamiento él sensible aconteció miento de La muerte de los Sr…</t>
  </si>
  <si>
    <t>Ru, Constantino de</t>
  </si>
  <si>
    <t>Constantino de Ru</t>
  </si>
  <si>
    <t>…los repetidos reglamen tos que prohíben hacer recluías en secreto para el servicio militar de las po tencias extrangeras. - Jde.m 13. El dia 3 de este mes llegó á Varsovia el gran duque Constantino de Ru sia. Ya se están tomando en aquella' capital las disposiciones convenientes para recibir el cuerpo de egército ruso que ha de pasar muy en breve por el reino de Polonia. . ,* Francfort 13 de Diciembre. Ayer llegó á esta ciudad lord Clancarty; de suerte que ya…</t>
  </si>
  <si>
    <t>Ruano, Juan María</t>
  </si>
  <si>
    <t>Juan María Ruano</t>
  </si>
  <si>
    <t>…araz. í De' la de Aragón. A D. Fernando María López Sagredo, corregidor de Trujillo. v De la de Valencia. A D. Vicente Pedro Rebollo, corregidor de Orense. De la de Extremadura. A D. Juan María Ruano , corregidor de Chinchilla. Honores de oidor de Canarias. A D.-Josef Antonio Morales , alcalde mayor de la Laguna , capital dé Tenerife. • Secretarios del R’sir con egereicio de decretos. - A D. Josef Cecilio de la Rosa; D. Agustín Sojo; D. Manuel Riega, y Do…</t>
  </si>
  <si>
    <t>…ento para celebrar la memoria del ReY nuestro Señor. Madrid 24 de Diciembre. El 29 del próximo pasado Noviembre la M. N. F. Y. L. ciudad de Chin chilla, representada por los Sres. D. Juan María Ruano, alcalde.del crimen honorario'de la Real audiencia de Extremadura, y corregidor de dicha ciu dad; D. Joaquín Almazan y Ximeno, alcalde de Casa y. Corte, y el comi sario! honorario D. Vicente Peñalva y Pont, regidor perpetuo y decano del ayuntamiento de la vil…</t>
  </si>
  <si>
    <t>Rubio, Alanuel Josef</t>
  </si>
  <si>
    <t>Alanuel Josef Rubio</t>
  </si>
  <si>
    <t>…da; en la inteli gencia de que está señalado para .su remate el día 6 de Diciembre venidero en la audiencia calle del Príncipe, á las 12 de su mañana. En virtud de providencia del Sr. D. Alanuel Josef Rubio, del Consejo de S. M., teniente corregidor de esta muy heroica villa de Madrid, por la escribanía del nume ro,de D. Casimiro Antonio Gómez, sa cita, llama y emplaza á los parientes de Don Eugenio Ruiz de. Amoraga, natural de la villa de Manzanares, soltero, q…</t>
  </si>
  <si>
    <t>Rubio, D Manuel Jq.sef</t>
  </si>
  <si>
    <t>D Manuel Jq.sef Rubio</t>
  </si>
  <si>
    <t>…dro de esta corre r barrios* de S. Cayetano, núm. 28, manz. 73 , tasada en 94666 rs., rematada en 80¿00 rs. me tálicos , se ha señalado el dia 27 del corriente en la audiencia deí Sr. D Manuel Jq.sef Rubio, del Consejo de S. M., y teniente de corregidor de esta muy heroica villa, de doce á una dei mismo. Quien quisiere hacer mejora acuda á dicha hora y sitio en jpl citado día, ó ante S. S. por la escribanía del numero de D. jacinto Gacna.y Lo,eche$. . En virtud…</t>
  </si>
  <si>
    <t>Rubio, EX Manuel Josef</t>
  </si>
  <si>
    <t>EX Manuel Josef Rubio</t>
  </si>
  <si>
    <t>…a del Sr. E&gt;. Angel Fernandez de los Ríos, del Consejo de S. M.* teniente corregidor de esta muy heroica villa, ante el escribano de su número Don Juan Raya. ^ Por providencia del Sr. EX Manuel Josef Rubio, del Consejo de S. M., teniente de corregidor de ésta muy heroica villa, y por la escribanía del número de D. Tomas de Sancha y Prado, se vende á voluntad de su dueño una casa sita en esta corte , y fu calle de los I&gt;o¡s Amigos, númv ió, manz. 539, con 5847 p…</t>
  </si>
  <si>
    <t>Rubio, Joaquín Piaseñcia</t>
  </si>
  <si>
    <t>Joaquín Piaseñcia Rubio</t>
  </si>
  <si>
    <t>…por Ja escribanía de¡ D. Elias Izquierdo y Payan, se manda, citar y emplazar á los que se e£timen.rCon.derecho á la masa y bienes del concurso de acreedores á la testamentaría de D. Joaquín Piaseñcia Rubio,-para que en el preciso término de ocho meses acudan á formali zarle con los documentos que les comprueben; prevenidos que de no verificarlo en dicho plazo, los pagos sucesivos se harán sin gravarhen.de fianza, cancelándose Jas4 que ésten dadas cort tal respe…</t>
  </si>
  <si>
    <t>Rubio, Manneljosef</t>
  </si>
  <si>
    <t>Manneljosef Rubio</t>
  </si>
  <si>
    <t>,rÉn virtud de providencia del Sr. D. Manneljosef Rubio, del C0flJj5jcyde.fi., M.r teniente de corregidor' dé esta muy heroica villa; refrendada mero D. Tomas María Manrique, se cita-» llama y. emplaza por'tercero y último ,^érV mirló de 10. días, contados' desde la publicación.de este anuncio, á D- ^uáh 'Angel-,…</t>
  </si>
  <si>
    <t>Rubio, Manuel Josef</t>
  </si>
  <si>
    <t>Manuel Josef Rubio</t>
  </si>
  <si>
    <t>…3§ P*es » tasada en 17254 rs. vn. , y dan por ella 17554 rs- * á pagar 4© en metá lico , y el resto, deducidas cargas, en vales Reales'. Quien quisiere hacer mejora acu da ante el Sr. D. Manuel Josef Rubio, del Consejo de S. M., teniente corregidor de esta muy heroica villa, por la escribanía de su número que egerce D. Juan Raya; y está señalado para el remate el dia 30 del presente mes á las i 2 y media en la au diencia del mismo señor. ; HC&gt;. Anselmo Montero,…</t>
  </si>
  <si>
    <t>…atención a los dis tinguidos méritos que ha contraído en favor del imperio germánico'durante el tiempo que egerciú el consulado general de España en Marruecos; Por providencia del Sr. D. Manuel Josef Rubio, del Consejo de S. M. r tenien te corregidor de esta muy heroica villa, su fech^ 12 del corriente * se ha mandado convocar á junta á todos los acreedores á la dimisión de bienes de Doña Ana de Ma ta para repartir el líquido que ha quedado de una casa que'la c…</t>
  </si>
  <si>
    <t>…en 2933 ; y otra en la Cañada, de 16 fanegas, en 4125 rs.,sitas todas en tér mino de los lugares de Carabancheles, se ha señalado el dia 19 ae Febrero próximo en la audiencia del Sr. D. Manuel Josef Rubio, del Consejo de S. M.-,'y teniente de corregidor de esta muy heroica villa, y hora de las doce á una. Quien quisiere hacer postura á todas ó cada una de dichas fincas acuda ante S. S. por la escribanía del nú mero de D. Jacinto Gaona y Loeches. En virtud de p…</t>
  </si>
  <si>
    <t>Pói providencia del Sr/D. Manuel Josef Rubio , del Goñsejo deS.M., teniente corregidor dé esta muy heroica villa, su fecha .20 de Enero último» se ha mandado, entre otras cosas, llamar y emplazar, como se egecuta por el presente, á Doña Feli pa. Aívarez, viuda de D. Lorenzo Miguel Monasterio, y: á sus .…</t>
  </si>
  <si>
    <t>…entará por sí, ó.por medio de apo derado , en la, contaduría del mencionado ramo en Madrid , en donde serán admitidas siempre que sean arregladas. ^ Por la audiencia y juzgado del Sr. D. Manuel Josef Rubio, del Consejo de S. M., teniente de corregidor de esta muy heroica villa, y escribanía del número al cargo de D. Anselmo Ordoñez¿ se subasta una casa, sita en el lugar de Carabanchel de abajo, propia de los herederos de Alfonso Bermejo, situada en la calle Emp…</t>
  </si>
  <si>
    <t>…elSr.'D. 4ngel Fernandez de Jos Ríos , del Consejo deS. M_.,( teniente corregidor de esta muy heroica villa, por ante el escribano de número Don Claudio Sanz. Por la audiencia del Sr. D. Manuel Josef Rubio, del Consejo de S. M., tenien te de corregidor de esta muy heroica villa y escribanía del numero al cargo de Don Anselmo Ordoñez, se-subasta una casa á la malicia , sita en esta corte en la callé de la Palma alta, núm. 28, manz.453 , y toda ella consta de 579…</t>
  </si>
  <si>
    <t>…. Pedro, barrio de S. Cayetano de esta cor te, núm. 28, manz. 73, tasada en 94666 rs., rematada en 80200 rs. metálicos, se &lt;ha señalado el dia 16 del corriente’en la audiencia del Sr. D. Manuel Josef Rubio, del (ponsejb de S. MU, y*teniente de corregidor de esta muy heroica villa, de doce í -una de su tarde. Quien quisiere hacer alguna mejora acuda en dicho dia y ante el mis mo señor juez y escribanía del numero de D. Jacinto Gaona y Loeches, que se ad mitirán…</t>
  </si>
  <si>
    <t>…to, y tienen dos faroles y cuatro censos importantes 447,705 rs. y 17 mrs. vn., los dos de ellos al 2§ por 100, y los otros dos al tres. Quien quisiere hacer postura acuda ante el Sr. D. Manuel Josef Rubio, del Consejo de S. M., teniente corregidor de esta muy heroica villa, por la escribanía de su número que egerce D. Juan Raya, y está se ñalado para su remate el dk 14 de Abril próximo en la audiencia de dicho señor. Se llama á los parientes mas inmediatos que…</t>
  </si>
  <si>
    <t>…tor. Se vende una casa sita en esta corte, y su calle de S. Juan, señalada, con el núañero 10, de la manz. 315, tasada en 38885i,rs. vn. Quien quisiere hacer postura acuda ante el Sr. D. Manuel Josef Rubio, del Consejo de S. M., teniente corregi dor de esta muy heroica villa» y está señalado para su remate el dia 21 de Abril ^próximo en la audiencia del mismo señor. Habiendo fallecido en esta corte T&gt;. Fernando 'Várela, depositario general de aiabajas que fue d…</t>
  </si>
  <si>
    <t>…fensor judicial que losárepre-; sente, con cuya citación se practicarán las’ que conduzcan en el ínterin se verifica su presentación en debida forma. &gt; • ■ Por providencia del br. D. Manuel Josef Rubio, del Consejo de S. M., tenien*, te de corregidor de esta muy heroica villa, y ante el escribano de su numero 0. An* selmo Ordoñez, se ha. sqñaúdo para el ¡remate*de una casa sita en eí( lugar de Qarahauchel de abajo, prop# de Los'herederos de. Alfonso Bermejo…</t>
  </si>
  <si>
    <t>…, y legitimar, sus (créditos en la referida audiencia y expresada escribanía; con apercibimiento que de no verificarlo les parará el perjui cio que haya lugar. Por providencia del Sr. D. Manuel Josef Rubio, del Consejo de S. M., tenien te de corregidor de está mmj heroica villa ,, y ante el escribano de su número Don Francisco Alcázar, se ha señalado para el remate de una casa sita en esta corte, y su calle de la Luna, señalada con el núm. 10, de la. manz. 469,…</t>
  </si>
  <si>
    <t>…alde mayor de la villa de Velez-Blanco, y escribanía de Rentas que despacha Juan Josef Padilla y Alaina, donde se admitirán las que hicieren siendo arregladas. Por providencia del Sr. D. Manuel Josef Rubio, del Consejo de S. M., oidor honorario de la Real chancillería de Valladolid, y teniente corregidor de esta muy heroica villa, refrendada de D. Pascual Seco, escribano Real y del número de ella, se han mandado sacar á pública subasta, por término de 30 dias,…</t>
  </si>
  <si>
    <t>…concurrentes, á lo que coritribíiyó laeUloc^ieoch del ora dor D. Domingo Lardin y Pinto, cura párroco del lugar dele Toao-estrecho, en esta diócesis. En virtud de providencia del Sr. D. Manuel Josef Rubio, del [Consejo de S. M.,' teniente corregidor de esta muy heroica villa, se cita para junta ? general, que ha de celebrarse el día 2 de Mayo próximo, á las nueve y media de la unianina, én las salas Capitulares del Excmo. ayuntamiento de esta muy heroica villa…</t>
  </si>
  <si>
    <t>…los aparatos lúgubres de la iglesia para las tres funciones, variando solo algu nas alegorías destinadas á indicar la Real Persona por cuyo descanso se oraba. Por providencia del Sr. D. Manuel Josef Rubio, del Consejo de S. M., y te niente de corregidor de esta muy heroica villa, refrendada de su escribano del núme ro D. Jacinto Gaona y Loechas , se han mandado vender en público remate dos es crituras de imposición en la renta del tabaco de á 22,600 rs. cada u…</t>
  </si>
  <si>
    <t>…nte el mérito de tan distinguidos alumnos: un tomo en 4.0 Véndese en lá librería de Calleja, calle de las Carretas, á 20 rs. en rústica y 25 en pasta. En virtud dé providencia del Sr. D. Manuel Josef Rubio,, dél Consejo de S. M.,‘ teniente corregidor de esta muy' héroica.vfila, por la escribanía de su número que egerce D. Juan Raya, se vende una casa sita en esta corte, y sus calles de S. Juan la nueva, ddl Acuerdo y de S. Hermenegildo, señalada con el núm. 8 d…</t>
  </si>
  <si>
    <t>…o... pues su-remate está señalado y se ha de celebrar en la audiencia de dicho señor y hora de las ío d$i la mañana el día, 2g(fdeicorriente. s ' . * En virtud de providencia del; Sr. D. Manuel Josef Rubio, del Consejo de S. teniente corregidor; de esta muy heroica villa, se cita, llama y emplaza á los herede ros de.D. Josef Ibaseta, vecino que fue de esta corte, ya difunto, para que dentro de 30 días , contados desde 23 del pasado &gt; comparezcan por sí ó por me…</t>
  </si>
  <si>
    <t>…ibanía de provincia y comisiones, de la- misma ele D. Mauricio Justo del Rincón ; bajo apercibimiento que de no hacerlo les parará el perjuicio que haya lugar. Por providencia del Sr. D. Manuel Josef Rubio, del Consejo de S. M., teniente corregidor de- esta- muy heroica villa &gt;• su fecha 7 del corriente, se cita, llama y em plaza á los parientes ydemas personas que crean tener derecho a los bienes que han* quedado por fallecimiento abintestato de Vicente García…</t>
  </si>
  <si>
    <t>…érmino sin haber comparecido, y.sin maé citarles fii“llamarles y se pro▼eerá lo que corresponda por derecho, y íes parará el perjuicio qué haya lúgár¿ En virtud de providencia del Sr. D. Manuel Josef Rubio, del Consejo de S. M¿, teniente de corregidor de esta muy heroica villa, dada a instancia de los herederos de D. Jaime Dot, se cita, llama y emplaza á cualquiera persona ó acreedor que pue^ da tener derecho á la testamentaría de aquel, pendiente por el juzgad…</t>
  </si>
  <si>
    <t>…id á D. Agustín Tosantos y Laprada, corregidor de la ciudad de.Falencia, y de ía de Granada á D. Josef Ma&gt; ceda, alcalde mayor de Sta. Cruz de Múdela. En virtud de providencia del Sr. D. Manuel Josef Rubio, del Consejo de S, M.t teniente corregidor de esta muy heroica^villa, de 13 del corriente, se cita, llama y emplaza á las personas que se consideren con derecho á los bienes , caudal y efectos que han quedado por muerte intestada, acaecida en 27 de Enero últi…</t>
  </si>
  <si>
    <t>…s. en el despacho de la imprenta Real. Se suscribe en dicho despacho, y en las provincias en todas las ad* ministraciones principales y agregadas de Córreos. ' Por providencia del Sr. D. Manuel Josef Rubio, del Consejo de S. M., tenien te corregidor de esta muy heroica villa, por la escribanía de su número que egerca D. Juan Raya , se venden unas casas principales de que se dió aviso en el diario de 24 de Marzo del corriente año consistentes en esta córte y sus…</t>
  </si>
  <si>
    <t>…drados, y está tasada en 27382 rs. Quien quisiere hacer postura. á ella acuda al referido juzgado y escribanía, que se'le admitirá siendo arreglada. . En virtud de providencia del Sr. D. Manuel Josef Rubio, del Consejo de S. M., teniente corregidor de esta muy heroica villa, y por la escribanía de su numero que egerce D. Juan Raya» se vende una casa sita en esta corte, y su calle de la Esgri ma, esquina á la de la Espada, señalada con el m'im. i.° de la manz. 5…</t>
  </si>
  <si>
    <t>…acerId~o: kef~n oidos, y sufHraíi ePperjuició qúe puedan 'irrogarles las detetininaciot" , '" . • . f -néS' de los derna'S. :'.: -.-: 1(, !.: " '.',.' En virtud de providenci~ del Sr. D. Manuel Josef Rubio, del Consejo de S.M., : teniente' corregidór-de .. esta muy heroica viHa'; 'refrendada' dél escribano' de su número ·D. Martín, Santin y Vazquez 9.,se ,sacan-,á. pública s.ubasta por término ·de-30: :.dias, para iuventa á .censo.reservativo redit:nil&gt;Le con .…</t>
  </si>
  <si>
    <t>…in que lo verifiquen se practicarán las actuaciones á que haya lugar sin su concurrencia, y les parará el mismo perjuicio que si estuvieran presentes. En virtud de providencia del Sr. D. Manuel Josef Rubio, del Consejo de S. Mí, teniente corregidor de esta muy heroica villa, se ha mandado sacar á pública subasta por término de 30 días, contados desde »8 de Mayo próximo pasado, una casa sita en esta corte, calle de los Abades, núm. 8, manz. 64, que contiene 2646…</t>
  </si>
  <si>
    <t>…de la Guerra , encargán dose al propio tiempo del despacho del de Marina. Tendreislo entendida, y lo comunicareis á quienes corresponda para su cumplimiento.” Por providencia del Sr. D. Manuel Josef Rubio , del Consejo de S. M., oidor honorario de la Keal chancillaría de Valladolid, refrendada de D. Pascual Seco, es cribano del número de lá misma, se ha señalado para el'remate de dos vinas s'tas eh ‘término del' lügar de Füencarral de esta jurisdicción, una do…</t>
  </si>
  <si>
    <t>…ntidad de 307,496 rs. vn. Quien quisiere hacer postura á ella acuda ante dicho se ñor juez y escribanía del número vacante, que se admitirán siendo arregladas. Por providencia del Sr. D. Manuel Josef Rubio, del Consejo, de S. M.^teniente corregidor de esta muy heroica villa, por la escribanía de su núm.ero que egerce Don Juan Raya, se vende una casa sita en la villa* de Rejas, á la salida del pueblo» y ca mino que llaman del Lavadero, tasada en 13$ rs., y una é…</t>
  </si>
  <si>
    <t>…ado el dia 30 del corriente, á las 12 en punto de su mañana, en la posada del Sr. D. Joaquín de Almazan, del Consejo de S. M., alcalde de la Real Casa y Corte. Por providencia del Sr. D. Manuel Josef Rubio, del Consejo de S. M., tenien te corregidor de esta muy heroica villa, y por la escribanía de su npmero que egerce D. Juan Raya, se vende una casa sita en esta corte y su calle de la Esgrima, es quina á la de la Espada, señalada con el número i.° de la manz.…</t>
  </si>
  <si>
    <t>Rubio, Máñüel Josef</t>
  </si>
  <si>
    <t>Máñüel Josef Rubio</t>
  </si>
  <si>
    <t>…en el perjuicio que'hayalugar,;y sé dará al expediente'el curso que corresponda.’ , — ||,; '■ ■■■ " —•—— : :---- — —- ' ■- - r..- -- .. ; ....... r1"' &gt; * Por’providencia del Sr, ’D. Máñüel Josef Rubio , del Consejo de S. M., teniente corregidor de ésta muy. heroica villa, dada por la escribanía del número de D. Cris tóbal déVicuña, se ha. manejado sacar á' publica subasta una casa sita en esta corte.,, y su calle de Buena V;istavñám: 5 , maní, que.tiene de…</t>
  </si>
  <si>
    <t>…el concepto de que el nueva reñíate sé Ha dé celebrar el último de los echo dias siguientes al en que se inserte esté anuncioy sí fuére"feriado en el sucesivo. Por providencia del Sr. D. Manuel Josef Rubio, del Consejo de S. M., tenien te corregidor de esta muy/heroica villa, dada-por- la escribanía dé número de Don Cristóbal Vicuña, se han mandado sacar á pública subasta dos casas unidas sitas en esta corte, la una en la calle del Desengaño, ¿frcntelal convent…</t>
  </si>
  <si>
    <t>…o, -y dis pondréis lo necesario para su cumplimiento. rrRubricado de la Real mano de Manuel González Salmón:” S.M. «en Palacio á 29 de Junio dé áD. ' Erí virtud de providencia del Sr. D. Manuel Josef Rubio, del Consejo de S. M.,, teniente corregidor de esta muy heroica villa, refrendada .del /Sr. D., Ramón «García 1 Ximenez, escribano «del número de ,1a misma, se ha mandado sacar á pública¡subas ta'por término de 30 días , «contados desde .17 del^comente., una…</t>
  </si>
  <si>
    <t>…S: S4 i én virtud de lo cual quien quisiere hacer postura acudaaqte dicho señor juez y cita-, da escribanía, que se admitirán siendo arregladas. . . ^ ‘ J Por providencia del Sr.' D. Manuel Josef Rubio, del Consejo de S.-^¿picloiE,.. honorario de la Real chancilléría de Válladolid , teniente corregidor de está muy he roica villa, se ha señalado para el remate de una casa sita'en Alcórcon en la calle Grande, perteneciente al vínciilo de los Fernandez, tasada…</t>
  </si>
  <si>
    <t>…que quiera hacer postura á ella acuda ante dicho señor y citada escribanía dentro del término señalado, que se admitirán las que se hicieren siendo arregladas. Por providencia del Sr. D. Manuel Josef Rubio, del Consejo de S. M., tenien te corregidor de esta muy heroica villa, por la escribanía de su número que egerce D. Juan Raya, se vende una casa sita en esta corte, y su calle del Baño, señalad*, con el número 10 de la manz. 218, tasada en 2 86,568 rs. Quien…</t>
  </si>
  <si>
    <t>…á una/casa sfca én esta corte , calle de los;Abádesrr núm. 8., matiz. 64, que contiene 2 646*43 íes de área plana, tasada en la ¡cantidad de 53,468 rs., acuda por la audiencia del;Sr. D. Manuel Josef Rubio, del Consejo de Sv Mi, teniente corregidor de esta muy fieroica'villa, y escribanía del numero de Don, Miguel Gonzalo, donde se admitirán Rs que se hicieren siendo arregladas; éh . ip|e'-í ligeñeia que para el remate'á‘e efia se ÍR señalado el diá ¿o del corr…</t>
  </si>
  <si>
    <t>…us; acree dores ; y para su celebración está señalado el domingo 2 5 del actual á las 8 de la ma ñana en la posada de S. S. A voluntad de su dueño , y en virtud de providencia del Sr. D. Manuel Josef Rubio, del Consejo de S. M., teniente, corregidor de está muy heroica YÍlIa,.y por la escribanía del número que egerce E&gt;. Antonio Villa y Fernandez, se vende una casa en esta córte, calle del Aguila, num. 2 , manz; 1 io, que tiene de sitio 2437 pies , y fue tasada…</t>
  </si>
  <si>
    <t>…o de su mañana, en la posada del Señor D. Angel Fernandez de los.Rios, y que se anuncie por este periódico para que ilejgue á noticia de todos ios interesados. Por providencia del Sr. D. Manuel Josef Rubio , dél Consejo de S. M. , teniente de-corregidor -de -estamuy heroica villa, por la escribanía de numero de D. Cristóbal</t>
  </si>
  <si>
    <t>…qué pasádós sin háBerló hecíió¿!sin mate citarle'ni emplazarle, Té parará él perjuicio que Haya l'ugar-&gt; y; sede» daráí'ei'cursó córregpondieñte. En -virtud dé providencia del Sf. D. Manuel Josef Rubio, del Consejp de S. M.¿ ten lente de, corregidor de. está muy heroica villa, su fecha 20 del corriente .¡seha.mandado sacar á-públíca subasta nuevamente una casa y dos, pajares , sitp en lá villa dé Barajas, la.primera,en-la calle que va al convento, que-conti…</t>
  </si>
  <si>
    <t>…rregladas. Para la junta de acreedores de ios bienes que pertenecían á las testamentarías de D. Pedro López Martínez y Doña Paula Feliciana de Arenzana, su muger, ha seña^ lado el Sr. D. Manuel Josef Rubio, delC¡onsejo-de S¿ M.,; teniente corregidor de esta muy heroica villa, el día 2 de Agosto próximo, á las nueve de su mañana, en su posada, lo que se hace saber á dichos acreedores para que concurran por sí ó per sona a su nombre con suficiente poder.*; en int…</t>
  </si>
  <si>
    <t>…do que ade mas de la carga de alumbrado y sereno se halla grabada con un censo redimible da 40^ rs. de principal al rédito de 3 por roo. Quien quisiere hacer mejora acuda an te el Sr. D. Manuel Josef Rubio, del Consejó de S. M. , teniente corregidor de esta’ muy heroica víUaj, por&lt; la escribanía de su número que egerce D. Juan Raya yyestá't señalado para su remate el dia 21 del corriente, á las 12 , en la audiencia del mismo señor. En los autos, núm. 197 del añ…</t>
  </si>
  <si>
    <t>…o, cuya mejora se admitió por-dicho supremo tribunal; y. para el nuevo remar te de dicha casa se ha señalado el dia 14 ael corriente, de n á una de su maña na, en la audiencia del Sr. D. Manuel Josef Rubio, del Consejo de S. M., teniente corregidor de esta muy Heroica villa , y escribanía del número de D. Miguel Gonzalo. Por providencia del Sr. D. Josef López del Pan, dictada en 7 del corriente, y refrendada del escribano de provincia y comisiones déla Real Cas…</t>
  </si>
  <si>
    <t>…iarán y determinarán los au,tos en su ausencia y rebeldía, habida por presencia, y les parará el perjuicio que haya lugar. A voluntad de sus dueños, y en virtud de providencia del Sr. D. Manuel Josef Rubio, del Consejo de S. M., teniente corregidor de esta muy heroica villa , refren dada de D. Juan Villa y Olier, escribano del número, comisiones del Excmo. ayun tamiento de la misma, y de la Real Casa, se ha mandado sacar á pública subasta, por término de 15 dia…</t>
  </si>
  <si>
    <t>…que sien dicho término no lo verifican , sin mas citación ni empla zamiento se proveerá*lo que corresponda,,y les parará el perjuicio que haya fugar. En virtud de providencia del; Sr. D. Manuel Josef Rubio, del Consejo de S. M.t teniente de corregidor de esta muy heroica villa, refrendada de D,. Donato NuñeZy su escribano del número, se ha señalado para la celebración de una junta general de acreedores de D. Antonio Mandri y Camin, vecino y del comercio en esta…</t>
  </si>
  <si>
    <t>…aría de Yarza, y para ía media ra ción de la iglesia metropolitana de Sta. Fe, vacante por fallecimiento de Don Juan Antonio Riaño, á D. Joaquín Pichó. A virtud de providencia del Sr. D. Manuel Josef Rubio, del Consejo de S. M., teniente corregidor de esta muy heroica villa, se vende , á pedimento de sus dueños, una casa en esta corte, sita en la calle del Rincón de S. Cristóbal, núm. 16, manz. 184; tiene de sitio 2619^ pies, y es su valor, según tasación, 20,3…</t>
  </si>
  <si>
    <t>…éf? Hacer ^óstuía á ellos lo egecutará en la audiencia de dicho señor y referida eséríbátna b donde'se admitirán las que hagan siendo arreglada». .. . . | Por providencia del .Sr, D. Manuel Josef Rubio , deLConsejo de S. M., tenietif te corregidor de esta muy heroica villa, se cita, llama y emplaza a .todos:los acree^ dores á la testamentaría de Doña naonata González fyiuda que fue der D. Antonio Adeba y Osorio, para que en el lérminp.de 20 días qpmparegcan…</t>
  </si>
  <si>
    <t>…as 43,200 de capital: se ha rematado por 48,600 rs.'; y en decretó del Consejo supremo de S. M. se ha mandado publicar por ocho dias mas. Quien quisiere hacer mejora acuda ante el Sr. D. Manuel Josef Rubio, del Consejo de S. M., te niente corregidor de esta muy heroica villa,y por la escribanía del número que egci1ce D, Juan Raya; y está señalado para su remate el dia 13 del corriente í las 11, en la audiencia de dickó señor.. .1?; / ■; . .1 Por providencia del…</t>
  </si>
  <si>
    <t>…ler, del Consejo de S. M., alcalde de Casa y Cor* te, que la tiene en la escribanía de provincia de D. Pedro Josef de Ibabe. A voluntad de su dueño, y en virtud de providencia del Sr. D. Manuel Josef Rubio,del Consejo de S. M., teniente corregidor de esta muy heroica yilla, por la escribanía del flumero que egerce D. Antonio Villa y Fernandez, se vende una casa en esta corte, caíle del Aguila, núm. 2, manz. no, que tiene de sitio 2437 pies, y fue tasada por el…</t>
  </si>
  <si>
    <t>…cubran el precio de la tasa, á pagar en metálico. Está señalado el dia 3 de Octubre próximo, y hora de las nueve de su mañana, para la junta que ha de celebrarse en la posada del Sr. D. Manuel Josef Rubio, del Consejo de S. M., oidor honorario de la Real chancillería de Valladolid, teniente corregidor de esta muy heroica villa, de todos los acreedores y personas que preten dan tener derecho á la casa da D. Juan Dufoureq y compañía, del comercio de esta corte;…</t>
  </si>
  <si>
    <t>…el Gato, tasada en 14,575 *s- : dan 9900 en efectivo; y otra, linde con la de dicha taberna, tasada en 5018 rs., y dati 3500 én efectivo.'Quien quisiere hacer mejora acuda ante ^1 Sr. D. Manuel Josef Rubio, del Consejo dé S. M.\, tenierite corregidor de esta muy heroica villa, y por la escribanía de su número que egerce D. Juan Raya; y está señalado pairaf el re rúate el dia 27 del corriente, á las n , en la audiencia del mismo señor. - Por decreto' de ios Sres…</t>
  </si>
  <si>
    <t>…e Noviembre del año último, un Real colegio en Málaga, adonde pueden concurrir ios naturales ó. residentes en pueblos mas inmediatos á aquella ciudad. En virtud de providencia del Sr. D. Manuel Josef Rubio» teniente corregidor de esta muy heroica villa, se vende, á pedimento de sus dueños, una casa en esta corte* sita en la calle.del Rincón de S. Cristóbal, niím. 16 , manz. 284 &gt; tiene de sitio 2619 pies y 7 octavos,' y es su valor, según tasación, 20,398 rs. v…</t>
  </si>
  <si>
    <t>…5000 idem. En Madrid. ¡ ' 11850.. 3000 idem. En Málaga. 1 ’ '2Í22Í.. 2000 idem. En Reus. 31265.. 1000 idem. En Madrid^ - 30631.'. 1000 idem. En idem. En virtud de providencia del Sr. D. Manuel Josef Rubio, del Consejo de S. Mv teniente corregidor de esta muy heroica villa, refrendada de D. Donato Nuñe¿, su escribano de número, se ha señalado para Ja celebración de una junta general d« acreedores de D, Antonio Coll, vecino y del comerció en esta corte, el dia i…</t>
  </si>
  <si>
    <t>…o Consejo, á cargo de D. Román Lorenzo Calvo; con apercibimiento que transcurrido dicho término sin haberlo verificadp les parará el per juicio que haya lugar. Por providencia del Sr. D. Manuel Josef Rubio, del Consejo de S.M., y teniente de corregidor de esta muy heroica villa, se cita, llama y emplaza á todos los acreer dores é interesados á los bienes quedados por muerte de D. Manuel Pico de Santístéban, vecino que fue de esta córte, para que dentro del. tér…</t>
  </si>
  <si>
    <t>…127,465 rs., y rematada en 90,500 rs. vn. metálicos , de los cuales se han de re bajar las cargas que sobre sí tiene. La persona que quiera hacer mejora acuda por la audiencia del Sr. D. Manuel Josef Rubio, del Consejo de S. M., teniente corregidor de esta muy heroica villa, y por la escribanía det número de D. Miguel Gonzalo; en nyeligancia vque para el nuevo remate de dicha casa se ha señalado el dia 26 det corilen^e, de 12 á una de su mañana en la aud¡éneiad…</t>
  </si>
  <si>
    <t>…ico; y por decreto del Consejo supremo de S. M. se ha mandado publicar por ocho dias mas, y se ha señalado para nuevo remate el dia 30 del corriente, á las 12, en la audiencia del Sr. D. Manuel Josef Rubio, del Consejo de S. M-, teniente corregidor de esta muy heroica villa, ante él escriba no de su niimero D. Juan Raya. En virtud de providencia de Sr. D. Martin de Gaztañaga, del Consejo da S. M.#&gt; su alcalde de Casa y Corte, autorizada del escribano de provinc…</t>
  </si>
  <si>
    <t>…4 rs. en el despacho de la imprenta Real. Se suscribe en dicho despacho, y en las provincias en todas las ad ministraciones principales y agregadas de Correos. Por providencia del Sr. D. Manuel Josef Rubio, del Consejo de S. M., teniente corregidor de esta muy heroica villa, se cita, llama y emplaza á todas las personas que sean acreedoras á los bienes de D. Magín Mari, vecino del lugar de Carkbanchel de Abajo, para que en el término de 20 dias, contados desde…</t>
  </si>
  <si>
    <t>*II94 6 celemines y 5 estadales, y valen 103,856 rs. y 3 mrs. Quien quisiere hacer postura á dichas fincas acuda ante el Sr. D. Manuel Josef Rubio, del Consejo de S. M. , te niente corregidor de esta muy heroica villa , y escribanía del número de D. Antonio Villa y Fernandez, en el término de 30 dias, contados desde 3 del presente mes; en inteligencia que no se admitirá en menos cantidad que la en que e…</t>
  </si>
  <si>
    <t>…rará justicia; apercibidos de que en defecto, ó de transmitirlos no obstante á otras,manos, quedarán responsables á las providencias q^e se dicten.,,, En virtud de providencia del Sr. D. Manuel Josef Rubio, teniente corregidor de esta muy herolcar villa-* por la escribanía del.número de D. Casimiro Antonio Gó mez , se qita para junta geheijal,' qu&amp; ha de'celebrarse en la posada de S. S. el domirigo 5 de Diciembre próximo, a jas nueve de la mañana, á todos los a…</t>
  </si>
  <si>
    <t>…ta aplicación la manera de hallar la posición de un navio , y de construir las cartas hidrográficas, que sirven para dirigir la marcha de un lugar á otro dado. Por providencia del Sr. D. Manuel Josef Rubio, del Consejo de S. M., y te niente corregidor de esta muy heroica villa, refrendada de su escribano del número D. Jacinto G-aoná y Loeches, se ha vuelto á señalar el dia 6 de Diciembre próximo en su audiencia, y hora de las 1 2 de su mañana, para el remate de…</t>
  </si>
  <si>
    <t>…acreedores é interesados en el concurso de D. Benito Diez del Va lle para que concurran a la junta que ha de celebrarse en el dia 30 de este mes, á Jas nueve, en la posada del Sr.'D. Manuel Josef Rubio, del Consejo de S. M,, teniente corregidor de esta muy heroica villa, ante el escribano de su número D. Juan Raya. En virtud de providencia del Sr. D. Ramón Satúe, del Consejo de S. M., su al calde de Casa y Corte, se cita, llama y emplaza á Josef Rodríguez ,…</t>
  </si>
  <si>
    <t>…este anuncio, á la citada escribanía, donde se les enterará de los pormenores que contiene, su precio y demas circunstancias que deseen saber los licitadores. Por providencia ¿el Sr. D. Manuel Josef Rubio, del Consejo de S. M., y te niente de corregidor de esta muy heroica villa, refrendada de.su escribano del nu mero D. Jacinto Gaonay Loeches, se ha señalado el domingo,19 de Diciembre pró ximo en su posada, y á la hora de las nueve de su mañana, para la junta…</t>
  </si>
  <si>
    <t>vecino del lugar de Caravahchel de Atajo, el día 12 del pasado, lia vuelto á señala* para ella el Sr. D. Manuel Josef Rubio, del Consejo de S. M., teniente corregidor de esta muy heroica villa, el día 12 de este mes, á las 9 de su mañana, en su ha bitación lo que se hace saber á los interesados para su inteligencia. En virtud de providencia del Sr. D. Martin de Gaztañaga, del Cons…</t>
  </si>
  <si>
    <t>…uda que fue de Francisco Perales, tratante en carnes en esta cqrte, para que en el término preciso de 20 días, contados desde 7 del. corriente, acudan á usar de su derecho ante el Sr. D. Manuel Josef Rubio, del Consejo de S. M., teniente corregidor de esta muy heroica villa, y escribanía del número de D(. Bernardo Díaz de Aptoñana, donde se halla radicada dicha testamentaría ; aper cibidos que de lo contrario Ies parará el perjuiciq que haya lugar. Historia de…</t>
  </si>
  <si>
    <t>…ndiente en lo miiithr de la capitanía general de Granada del mando de A/. E. „ y se parado de la de Andalucía á que hasta ahora ha correspondido.” A virtud de auto proveído por el Sr. D. Manuel Josef Rubio, del Consejo de S. M., teniente corregidor de esta muy'heroica villa, se lia mandado sacar á jpútílica subasta por término de 40 días, contados desdé esta publicación ,.una casa sita en es ta corte y su calle Mayor , señalada con el mlm, 14 de la manz. 194, e…</t>
  </si>
  <si>
    <t>Rubio, Manuel Josqf</t>
  </si>
  <si>
    <t>Manuel Josqf Rubio</t>
  </si>
  <si>
    <t>…de ésta’ especie las cargas: por decreto del Consejo se ha mandado publicar por ocho dias, y señalado para, nuevo remate el día 17 del corriente á las doce en la, audiencia.del Sr D. Manuel Josqf Rubio i del-Consejo de S. M,, teniente corregidor de esta muy heroica villa., por la escribanía de número que egerce D. Juan Raya. ( , • ;.. En virtud de providencia de. los Sres. dél Consejo de 25 de Febrero próximo, mandada guardar y cumplir por el señor alcalde…</t>
  </si>
  <si>
    <t>Rubio, Manuel Jostf</t>
  </si>
  <si>
    <t>Manuel Jostf Rubio</t>
  </si>
  <si>
    <t>…la del Gato, tasada en 14*575 rs., dan 1 2© en efectivo; y otra linde con la de dicha taberna, tasada en 5018 rs., y dan 4^ en efec tivo. Quien quisiere hacer mejora acuda ante el Sr. D. Manuel Jostf Rubio, del Con cejo de S. M., teniente corregidor de esta muy heroica villa, y por ia escribanía de su número que egerce D. Juan Raya, y está señalado para su remate eLdiag de Noviembre próximo, a las 12 , en la audiencia del mismo Señor. ; F.11 virtud de providenc…</t>
  </si>
  <si>
    <t>Rubio, Manuel Jpsef</t>
  </si>
  <si>
    <t>Manuel Jpsef Rubio</t>
  </si>
  <si>
    <t>…habiéndose dado el primero en Diciembre siguiente, y el segundo en 15 de Mayo ¡de este ano, se hace este tercero y último, para el fip;qu3 queda prevenido. Por providencia del Sr.,D. Manuel Jpsef Rubio, dei Consejo de S. M., y tenien te de corregidor de está muy heroica/villa, refrendada dé sú escribano del número D. Jacinto Gaona y Loechés,?sé han mandado sacar á subasta por término- de ocho dias, contados desde la fecha de esta publicación, las tierras, v…</t>
  </si>
  <si>
    <t>Rubio, Mati'uel Josef</t>
  </si>
  <si>
    <t>Mati'uel Josef Rubio</t>
  </si>
  <si>
    <t>…ella acu' da. ante dicho. Serian y escriban del \número al cargo de.D. Anselmo Ordoñez den-' tro del término de 30 diás,.copiados desde aquella fecha. En virtud de previdencia del Sr. D. Mati'uel Josef Rubio, del Consejo de S.kM.¿‘ oidor honorario de-ia-ÍÍ¿aLchancilIería de Valladolid , y teniente Corregidor de esta muy heroica villa, se cita , llama-y emplaza á las personas que se crean cop inmedia to parentesco á la difunta Doña Gregoria Quindós, viuda que era…</t>
  </si>
  <si>
    <t>Rubio, Simón</t>
  </si>
  <si>
    <t>Simón Rubio</t>
  </si>
  <si>
    <t>…aza Jocharán hasta fin 44.corriente, ‘dirigiendo sus memoriales y méfitós, francos de porte, al escribano dé ayuntamiea-to 0V Juán Cárabias. ' Sé bajía vacánte, j&gt;or traslación de D. Simón Rubio , una' plaza de las dos de ^medicó del lugar de Ateca, partido de Calatayüd, en el femó de' Atá^óri ;cuya do^ tac ion es 6© sueldos* jaijúeses pagados; 'cJeHpndo de'propios’éñ tres'1‘tercios-3 igual es. La persona que quiera preténdeírlé dirigirá su solicitud…</t>
  </si>
  <si>
    <t>Rublo, Manuel Josef</t>
  </si>
  <si>
    <t>Manuel Josef Rublo</t>
  </si>
  <si>
    <t>…por textp' la obra que para el mismo fin formó el propio catedrático el año de 181 £, y se halla venal bajo el título de Lecciones de Agricultura. En el juzgado que hoy regenta el señor D. Manuel Josef Rublo, del Consejo de S. M , teniente corregidor'de esta muy heroica villa, se hallan pendientes los autos de concurso ó dimisión de bienes que hizo en el año de 1807 Garlos Josef Lorenci-^ ni, de egercicto fondista; y habiendo necesidad de tratar y acordar diferen…</t>
  </si>
  <si>
    <t>…as las expresadas cargas; y. está señalado para su remate el dia g de Junio próximo, á la$: 12 , en la audiéncia* de dicho señor juez y citada escribanía.. " ‘ Por providencia dei Sr. D. Manuel Josef Rublo, del Consejo de S. M.» y te-* .niente de corregidor de esta muy heroica villa, para la junta general de acreedores á los bienes quedados por fallecimiento de lorenzo Josef Dávjla, vecino que fue del lugar de Carabanchel de abajo, se ha señalado el dja 20 de J…</t>
  </si>
  <si>
    <t>Rueda, Juan de</t>
  </si>
  <si>
    <t>Juan de Rueda</t>
  </si>
  <si>
    <t>…patronato Real de legos y capellanía que en el convéntó dé religiosas de Sta. Catalina de Sena^de esta corte, fundó el capitán D. Diego López de Medina, de que es patrono poseedor D. Juan de Rueda. ..........................</t>
  </si>
  <si>
    <t>Ruélás</t>
  </si>
  <si>
    <t>…informej brandaba esta gavilla, qué quedo'completamente1 derrotada' y dispersa , el re belde clérigo Carvdjál f'asegütíndorrié también que éntre loé müertos se halla el titulado .coronel Ruélás , segundo de aquél. : ‘ ; ' ‘ Todos los oficiales y trópa qué tuve ¿l honor dé mandar !$e han condu-í cido en esta vez con la bizarría que acostumbran; pero faltaría á mi deber si no hieiése una particular recomendación de los tenientes' D- Manuel Mora, y ¿ap…</t>
  </si>
  <si>
    <t>Ruelcer, Manuel</t>
  </si>
  <si>
    <t>Manuel Ruelcer</t>
  </si>
  <si>
    <t>…Barón de Dolsheim, del maestro Pacini: tres walses del célebre Jansen , y la canción española: Nise cauta ,-ó del dicho al hecho, con acompañamiento de piano-forte y guitarra, de D. Manuel Ruelcer; y los señores que gustasen seguir la suscripción al cuarto trimestre podrán verificarlo en los almacenes de música de la calle del Turco, carrera de S. Gerónimo y calle del Principe, en donde se hallan de venta colecciones completas encuadernadas á la rústic…</t>
  </si>
  <si>
    <t>Ruffo, Luis</t>
  </si>
  <si>
    <t>Luis Ruffo</t>
  </si>
  <si>
    <t>…Siciliana, y 5 príncipe de Scílfa , embajádor dél: mismo Soberano cercar de&gt;su Real- Persona; y la gran cruafde la Real y distinguida orden española de Carlos 11 r á Jos se ñores cardenal Luis Ruffo dé Calabria , arzobispo de Nápoles , marques To mas!, ministro de Grada :y Justicia y proto-notario de&lt; aquel reino', y príncipe de S, Nicandro,, mayordomo mayor de S. A. Ri. la Sra. Infanta Du—, qUéíS.a de Calabria. Cor -igual ©pasión S. Mi el Rey debréifio-…</t>
  </si>
  <si>
    <t>Ruiz, Antonio</t>
  </si>
  <si>
    <t>Antonio Ruiz</t>
  </si>
  <si>
    <t>…utilidad * en perjuicio del género humano, y!defraudando á la Real hácienda , con lasti moso descrédito del medicamento y mengua de sus inventores; en cuyp des4 agravió se reserva D. Antonio Ruiz el derecho de representar á S. M. r .i ARTICULO DE OFICIO. El Rey nuestro Señor se ha servido exped&amp;t -tl Real decréto siguiente: *,jPara facilitar el.mgs breve despacho dedos negocios derMinistériodEMa rina, de que os he encargado, interinamenjré hasta que t…</t>
  </si>
  <si>
    <t>Ruiz, Eugenio</t>
  </si>
  <si>
    <t>Eugenio Ruiz</t>
  </si>
  <si>
    <t>…Consejo de S. M., teniente corregidor de esta muy heroica villa de Madrid, por la escribanía del nume ro,de D. Casimiro Antonio Gómez, sa cita, llama y emplaza á los parientes de Don Eugenio Ruiz de. Amoraga, natural de la villa de Manzanares, soltero, que falleció en Madrid el 17 de Agosto del corriente año, para que dentro de 15 dias, conta dos desde el 24 del corriente, comparezcan en este juzgado a decir de su derecho en la instancia pendiente sob…</t>
  </si>
  <si>
    <t>Ruiz, Juan</t>
  </si>
  <si>
    <t>Juan Ruiz</t>
  </si>
  <si>
    <t>…ayu dantes que recomienda por su disposición y méri/to; „ Dios guarde á V. E. muchos años. Valladolid Abril 25 de 1818.= Excmo. Sr. = Matías. Martin y Aguirre. =Excmo. Sr.. virey D. Juan Ruiz de. Apodaca.” ' Parte del teniente’ 'coronel ZX Miguel Francisco, Barragan, al comandan, te, Ifi, Mntáas;-Martin y Aguirre;., /' Desde, el momento que V. S. tuvo á bien nombrarme comandante de&gt; este valle de Urecho, me dediqué primero á buscar con ansia la ga…</t>
  </si>
  <si>
    <t>…onsideración y de que eleve su mérito á la superior de V. E. ,, Dios guarde á V. E. muchos años. Tulancingo Junio 25 de 1818.= Excmo. Sr. == Manuel de la Concha. =Exemo. Sr. virey D. Juan Ruiz de ¡Apodaca.” ,Parte del capitán D. Blas Azcarate. „ Tengo la satisfacción de dar á vmd. parte como en la mañana de hoy se ha cubierto de gloria ia partida de 70 fieles realistas de Paloblanco y Xicalango que vmd. puso á mis órdenes para recorrer estos montes…</t>
  </si>
  <si>
    <t>…iones suaviza las costumbres bárbaras y feroces del hombre, y le pule y civiliza; pero que su estudio está necesariamente enlazado con el de la economía po lítica.” F1 dia 26 leyó D. Juan Ruiz de la Herran una disertación, en la cual expuso con mucha claridad y método los principales sistemas de la economía política que han dirigido por espacio de tres siglos las disposiciones de los Gobiernos, y formado su legislación económica; y demostró en otra…</t>
  </si>
  <si>
    <t>…e las naeionesde Adam Sntith, y otros tres para loa de Comercio, que consistirán en la aritmética práctica para uso de los negociantes, de Edmundo Degrange, adjudicando aquellos á D. Juan Ruiz de la Herran, D. Joaquín García Saenz y D. Francisco Alami nos ; y los de comercio IR Joaquín García Saenz,, D» josef Gorria, D An tonio Piqueras, y IXRauwii Pacanins' conotro tercer premio; y premios inr feriores á todos los demas,. =’ / V ^ El Real tribunal…</t>
  </si>
  <si>
    <t>Ruiz, Juan-</t>
  </si>
  <si>
    <t>Juan- Ruiz</t>
  </si>
  <si>
    <t>…muchas veces por su valor y buena disposición. : ; . ,,Dips guarde á V. E. muchos años. Valladolid Setiembre.2- de 1818=.= Excmo. Sr.=:Matías Martin y \Aguirre. =.Excmo* Sr. virey D. Juan- Ruiz: de Apodaca.” Parte del capitán comandante D* Ramón García Peguera, EL 24 del corriente á las 3 y media de la tarde salí de este pueblo con 40 infantes de Nueva-España y 5.0 caballos de mi cuerpo Realistas de Vallas* dolid, Querendaro-, S. Bartolomé y de esta…</t>
  </si>
  <si>
    <t>Ruiz, Raimundo</t>
  </si>
  <si>
    <t>Raimundo Ruiz</t>
  </si>
  <si>
    <t>…, una tierra de dos obradas cercare la población, de buena calidad y libre de toda contribución. Quien quisiere hacW pretensión dirigirá su so licitud al escribano de ayuntamiento D. Raimundo Ruiz, y su provisión se verifica rá en principio del año próximo de 1820. Se desea saber el paradero deD. Antonio Saúco, hijo de D. Antonio y Doña Feliciana Hernández, difuntos, natural de Ciudad Real, donde sentó plaza de sol dado; y á fin de enterarle sobre un a…</t>
  </si>
  <si>
    <t>Ruizr, Antonio</t>
  </si>
  <si>
    <t>Antonio Ruizr</t>
  </si>
  <si>
    <t>…es', médico del Réy&lt;: nuestro Señor, y asegura deber á esta raiz la curación de alguna fiebre intermi tente &gt;qüe ha tráf? tado. Dicha raiz se encuentra en la botica del licenciado D. Antonio Ruizr, ea la calle deí Mesón .de Paredes, -esquina á la de la Encpn&gt;ienda;.y $£ ^pre viene al público que la verdadera se halla venal solamente en está oficina, con el fin de evitar su falsificación 6 mezcla , como se lia verificado y verifica en el día en la dispe…</t>
  </si>
  <si>
    <t>Rumohr</t>
  </si>
  <si>
    <t>…ateca «$ museo del Príncipe. Real dg Baviera. El Mercurio de Mr. Thornwaldson es lo mejor de cuanto .hasta ahora ha hecho éste artista según la opinión genetal. ' Ha, publicado el barón Rumohr la biografía de Lorenzo Ghiberti, que es^aba^ei^ia bihjiipteca.de Magtiabeechi , y rro se había copiado hasta ahora sino . .'.«arparte i.1-^ ~ Jj.■//*'’,\J "J . , La jQireceion df la ést$dí&amp;ica d$ Ñapóles ha dado ai público noticias muy .curiosas acerca de lo…</t>
  </si>
  <si>
    <t>Ruppy</t>
  </si>
  <si>
    <t>…al consejero de Estado conde Pelet de la Lozere, al conde Portalis, consejero de Estado, y ministro plenipotenciario cerca de la Santa Sede, al conde Reilie, teniente general, al conde Ruppy, teniente general, al conde Rapp, teniente general, al conde Rampon , al teniente gene ral conde de Sparre, á nuestro primo el marques de S. Simón, mariscal de campo, al conde de Sussy, á nuestro primo el mariscal duque de Treviso, al marques de Talhuet, mari…</t>
  </si>
  <si>
    <t>Rusia, Miguel de</t>
  </si>
  <si>
    <t>Miguel de Rusia</t>
  </si>
  <si>
    <t>316</t>
  </si>
  <si>
    <t>…Césaris no se ha dispersado todavía la cuadrilla qué mandaba *, pero sin embargo hay mas seguridad que antes en. lps caminos. Llegan diariamente á Roma muchos extranjeros; el gran duque Miguel de Rusia y el Archiduque Palatino de -H’üñjria estarán aqüi cuando venga el Emperador dé Austria. ’ ,,ÉÍ Príncipe Federico de Hesse-Dar in'stadt ha determinado no establecerse yu en Roma, y parece que le han hecho variar de resolución ciertas diferen cias que han* ocu…</t>
  </si>
  <si>
    <t>Rusta, Miguel' de</t>
  </si>
  <si>
    <t>Miguel' de Rusta</t>
  </si>
  <si>
    <t>…üsidnfde la Cámara de lós‘ Comunes de ayer boché,1^ y'Bah''bajadd'con5ldefdbíeJne¿ité lófc fóndós. *1 ■ ■ : - - - FRANCIA. : - . r &gt; F ~&gt;J^^Í£.V4Tde.iíMayo* ' r ~ S. A. R. eí gran duque Miguel' de Rusta llegó á Vieha el 12 de este mes, y se detendrá aHi unós'ry días.' y,f-\ í j ; ; » : Continúan esparciéndose noticias muy singulares sobre* los asuntos de Sue cia en algunos péríódicos extrangeros. Por otra parte los de Alemania y de Ja Bélgica han publicado u…</t>
  </si>
  <si>
    <t>Rü’bio, Manuel'Josef</t>
  </si>
  <si>
    <t>Manuel'Josef Rü’bio</t>
  </si>
  <si>
    <t>…edio de personáscompetenteincnte autcá|z'ádá8T^cn lá inte ligencia de que á los que no se presenten; les' parará jel, pérjjuiciólugar en derecho.' _ • En virtud de providencia del Sr. D. Manuel'Josef Rü’bio, dél'Consejo de S. M., teniente corregidor de esta muy heroica villa, se han mandado sacar nuevamente á pública subasta por término de 20 dias-, para pago de acreedores, dos casas sitas en esta corte, correspondientes á la testamentaría de Doña Donata Gonzále…</t>
  </si>
  <si>
    <t>S, E. M.</t>
  </si>
  <si>
    <t>E. M. S</t>
  </si>
  <si>
    <t>…. P¿¿6 rs*: Núm. 624. ¡El limo* Sr. obispo de Urgelu2®. Núm. 625. D A. 60. Núm. 626. El señor cura de S. Ginés de Madrid, por limosnas recibidas de sus feligreses, izf. Nún&gt;. 627. D. E. M. S. ico. Nú mero 628. D. N. 60. Núm. 629. Doña J. R. i.oo*--Núm. 630. D. A. M. G. 112 reales y 8 mrs. Núm. 631.^11 ílmoVSr. obrépo'i 5bo. Núm. 632. D. J P. W. 401 Nóm¿ 6331!):; J: S. 40. Núm. 634 -D; NU24. Núm. 63 5. D. F. X. L.&lt; 300. Núm. 636. El deán y cabildo…</t>
  </si>
  <si>
    <t>S, F-</t>
  </si>
  <si>
    <t>F- S</t>
  </si>
  <si>
    <t>…ientos de intereses de va les Reales importantes 180 f rs. Núm. 120. El señor cura de S. Sebastian de Ma drid, por limosna de una feligresa suya., 1®. Núm. 121.D. P.320. Núm. 1224 D. F- S. 320. Núm. 123. D. F. Conejo 120. Núm. 124. D. J. IL. 18. rs. y 2-4 mr$.Núm. 125. El R. P. abad y cura de S. Martin de Madrid, por limos nas 'recibidas de los feligreses de dicha parroquia, 1882. Núm. 120. D. Lo renzo Ximenez 60. Núm. 127. Doña N. 4. Núm. 128.…</t>
  </si>
  <si>
    <t>S, F.</t>
  </si>
  <si>
    <t>F. S</t>
  </si>
  <si>
    <t>…feligresa de S. Sebastian, por mano de su párroco ,30o. Núm. 671. E. E. S. C. de C. 500. Núm, 672. D. L. R. 20. Núm. 673. El‘Real monasterio de S. Benito de Sagunto 640. Núm. 674. D. F. S. 22 rs. y 6 mrs. Núm. 675. D. J. R. 20. Núm. 676. Un limo. Sr. obispo 320. Núm. 677. D. N. 40. Núm. 678. D. J. C. 20. Nú mero 679. Doña J. L. 40. Núm. 680. D. N. 40. Núm. 681. La compañía de actores, individuos de la,orquesta y demas dependientes del coliseo'…</t>
  </si>
  <si>
    <t>S, J.</t>
  </si>
  <si>
    <t>J. S</t>
  </si>
  <si>
    <t>…80. Núm. 70. D. A. E. 70. Núm. 71. D. Domin go Riesco 60, Núm. 72. El Excmo. Sr. D. Joaquín Blake ico. Núm. 73. Don M. B. 60. Núm. 74, D. N. C. 320. Núm. 75. D. J. M. 60. Núm. 76. Don J. S. 160. Núm. 77. D. N. C. 20. Núm. 78. í). Josef Ribera 3C0. Núm'. 79. Los Sres. N. S. 800. Núm. 80. D. V. R. 20. Núm, 81. D. J. F. 100. Nú mero 82. Doñá M. E. E. 300. Núm. 83. D. J. IX. 60. Núm. 84. D. Josef de Urue 4 Núm. 85. D. Gregorio Sánchez Madrid iox Núm…</t>
  </si>
  <si>
    <t>S, M. C.</t>
  </si>
  <si>
    <t>M. C. S</t>
  </si>
  <si>
    <t>…ito los señores siguientes: Núm. 21. D. Pedro Goosens , durante la epidemia ,con 200 rs. mensuales. Núm. 22. D. Josef Remigio del Toril y Torralba, por idem, con 20 idem. Núm. 23. Doña M. C. S., por idem , con 60 idem. Num. 24. D. TadeoSan-</t>
  </si>
  <si>
    <t>S, Martin</t>
  </si>
  <si>
    <t>Martin S</t>
  </si>
  <si>
    <t>En el juzgadq ^el Sr D. Angel F^rnto4^z c!e los R*os, del Consejo cíe S. M** primer teniente de corregidor de est$ íjiuy heroica villa, -y. por la. escribanía del número de D. Martin S^ntin y Vázquez, ha hecho dimisión de bienes £X Pedro He bra!-, vecino de ella, en favor de sus acreedores; y por providencia de dicho señor juez se ha mandado citar, como se hace, á todos los que lo sean legítimos, para que concurran á ia junta que se ha de c…</t>
  </si>
  <si>
    <t>S, N.</t>
  </si>
  <si>
    <t>N. S</t>
  </si>
  <si>
    <t>…s cuesto?res del cuartel de la Plaza 8757 rs. y 26 mrs. Núm. 326. D. Iv. 320. Núr mero 327. El señor cura de S. Sebastian, por limosnas recibidas de sus feli greses, 60. Num. 328. D. N. S. 20. Núm. 329. D. N. 320. Núm. 330.'Lds •señores cuestores del cuartel de Maravillas 2197 rs. y 21 mrs. Núm. 331. Una persona por mano del señor brigadier D. Federico Moreti 2©. Núm. 322. Los señores cuestores del cuartel de S. Gerónimo 3420. Núm. 333. Una viu…</t>
  </si>
  <si>
    <t>S, Nuncio de S.</t>
  </si>
  <si>
    <t>Nuncio de S. S</t>
  </si>
  <si>
    <t>…J. L. y Doña María C. L. 400. Núm. 151. D. A. C. 220. Núm. 152. D. Faustino Sánchez Sevillano 200. Núm. 153. D. N. 160. Núm. 154. D. F. F. C. 320 rs. y 24 mrs Núm. 155. El Excmo. Sr. Nuncio de S. S. 1®. Núm. 156. D. J. Y. A. 320. Núm* 157. D. J. L. T. 60. Núm. 158. Doña N. 6. Núm. 159. Doña F. V* 100. Núm. ióq. D. A. R. Z. 100. Núm. 161. D. J. A. A. 120. Nú mero 162. D. N. 320. Núm. 163. D. F. F. 60. Núm. 164. D. N. N. 133. Núm. ió$. Pablo de la Cuesta 1…</t>
  </si>
  <si>
    <t>S, P.</t>
  </si>
  <si>
    <t>P. S</t>
  </si>
  <si>
    <t>…o, /calle del Turco, á 120 rs. Versos de D. Juan Bautista de Arriaza en ocasión de la muerte de la Reina nuestra Señora, reunidos para mayor comodidad y con anuencia del autor por D. P. S. de la P¿ Este cuadernito, qué ofrece la ventaja de presentar juntas composiciones de igual estilo y gustó, se hallará á 2 rs. éh las librerías de Perez, calle de las Car retas , y de Castillo, frente á las gradas dé S. Felipe. Puede ir en carta. Listas de las…</t>
  </si>
  <si>
    <t>S, P. A</t>
  </si>
  <si>
    <t>P. A S</t>
  </si>
  <si>
    <t>…rro, de la congregación de San Felipe Ncri de esta corre, 320. Núm. 420. D. M 112 rs. y 8 'mrs. Número 421. D. J. L. L. 100. Núm. 422. D. N. 120. Núm 423. D. Y. L. M. 60. Núm. 424 D. P. A S. 20. Núm. 425. Un criado de servir 10 Núm. 426. D. N, 80. Núm. 427. El señor cura de Sta. María de Madrid, por limosna recibida de una bienhechora ,60. Núm. 428. Doña M. S O. 40. Núm. 429. D. M. S M. 5:0. Núm. 430. D. N. 10. Núm. 431. D C. R. de P. 100. Núm. 4…</t>
  </si>
  <si>
    <t>S, P. A.</t>
  </si>
  <si>
    <t>P. A. S</t>
  </si>
  <si>
    <t>…tiago, en una letra á la orden del depositario, 12©. Núm. 685. El cabildo de la I. R. iglesia colegial de la Coruña 500. Núm. 686. D. N. 10. Núm. 687. Juliana Romero 80. Núm. 688. D. P. A. S. 40. Núm. 689. Doña Ana M. M., por segunda vez, 10. Núm. 690. El Excmo. Sr. conde de Maceda 320. Núm. 691. El limo. Sr. obispo de Córdoba 8®. Núm. 692. El Excmo. é limo. Sr. obispo de Cuenca 3©. Núm. 693. Doña N. 10. Por el correo de 14 de Diciembre s£ remitie…</t>
  </si>
  <si>
    <t>S, R.</t>
  </si>
  <si>
    <t>R. S</t>
  </si>
  <si>
    <t>…M. H. 100. Núm. 130. D. N. 20. Núm. 131. El señor cura de S. Justo y S. Miguel de Madrid,, por limosnas recibidas de sus feligreses, 1670. Núm. 132. Un farmacéutico 300. Núm. t33. D. R. S. 440. Núme ro 134. D. N. 40. Núm. 135. Doña R. B. 20. Núm. 136. D. Evaristo Vi cente Alvarez 120. Núm. 137. D. Rafael de Elorza 100. Núm. 138. Doña Ramona Berenguel 60. Núm. 139. D. P. P. 40. Núm. 140. D. N. 2®. Nú mero 141. El Exorno. Sr. D. Martin García y L…</t>
  </si>
  <si>
    <t>…iástico 60. Núm; 363. Doña María Dolores 20. Nú mero 364. D. N. 20. Núm. 365. D. Pedro Zavala y Espondá 360. Núme ro 366. D. C. Al. F. 320. Núm. 367. D». J. C. 40. Núm. 368. E. C. D. R. S. 320. Núm. 369 D. Y. S. 20 Núm. 370. D. A. R. de P. 40. Núm. 371, D. R. R., del comercio, 100. Núm. 372. D. C- V. D. 200. Núm. 373. Don J. D. V. 40. Núm. 374. D. M. G. 104. Núm. 375. El Excmo Sr. emba jador de Portugal 2©. Núm. 376. D' N. 320. Núm. 377. Doña M…</t>
  </si>
  <si>
    <t>S, S.</t>
  </si>
  <si>
    <t>S. S</t>
  </si>
  <si>
    <t>…0. Núm. 658. El señor cujea de Sta, Cruz de Madrid, por limosna recibid ;da de un feligrés, 320. Núm. ,659. JEl reverendo abad y cabildo de la cole gial de Olivares 1®. Núm. 6&lt;5o. Doña S. S. 60. Núm..661. D. J. E. M, too. .Núm, 662. Doña M. N. 320. Núm. 663. Un feligrés de S. Pedro de Ma drid , por mano de su párroco, 8. Núm. 664. D. J. T. A. 60. Asimismo se lia suscrito: Núm. 51. El limo. Sr. obispo de Albarracin con 2 reales, diarios por es pac…</t>
  </si>
  <si>
    <t>S, T.</t>
  </si>
  <si>
    <t>T. S</t>
  </si>
  <si>
    <t>…. 93. D. M. T. 300. Núm. 94. D. C. R. 2co. Núm". 95. D. Juan Carretero 200. Núm. 96. La Real corpo ración de capellanes de honor 6©. Núm. 97. Agueda Moreno, viuda, 20. Nú mero 98. D. T. S. 40. Núm. 99. D. Y. de M. 120. Núm. 100. D Manuel Piernas 4C0. Núm. 101. D. S. S. T. 1©. Núm. 102. D. Diego Man girón 120. Núm. 103. El Excmo. Sr. marques de la Concordia 3©. Núm. 104. D. N. 80. Núm. 105. Un señor brigadier del egército 80. Núm. 106. D. B. V\…</t>
  </si>
  <si>
    <t>S, Y.</t>
  </si>
  <si>
    <t>Y. S</t>
  </si>
  <si>
    <t>…oña María Dolores 20. Nú mero 364. D. N. 20. Núm. 365. D. Pedro Zavala y Espondá 360. Núme ro 366. D. C. Al. F. 320. Núm. 367. D». J. C. 40. Núm. 368. E. C. D. R. S. 320. Núm. 369 D. Y. S. 20 Núm. 370. D. A. R. de P. 40. Núm. 371, D. R. R., del comercio, 100. Núm. 372. D. C- V. D. 200. Núm. 373. Don J. D. V. 40. Núm. 374. D. M. G. 104. Núm. 375. El Excmo Sr. emba jador de Portugal 2©. Núm. 376. D' N. 320. Núm. 377. Doña M. C. M. 200. Núm. 378.…</t>
  </si>
  <si>
    <t>S., A. C.</t>
  </si>
  <si>
    <t>A. C. S.</t>
  </si>
  <si>
    <t>…Madrid, por mano de su párroco, 8. Núm. 654. D. A. 40. Num. 65 5. Y. P. 200. Núm. 656. El señor cura de S. Josef de Madrid, por limosnas recibidas de sus feligreses 62. Núm. 657. D. A. C. S. y Doña T. M. 200. Núm. 658. El señor cujea de Sta, Cruz de Madrid, por limosna recibid ;da de un feligrés, 320. Núm. ,659. JEl reverendo abad y cabildo de la cole gial de Olivares 1®. Núm. 6&lt;5o. Doña S. S. 60. Núm..661. D. J. E. M, too. .Núm, 662. Doña M. N. 320. Núm. 663…</t>
  </si>
  <si>
    <t>Sa</t>
  </si>
  <si>
    <t>49^ • '. muerte pronanclada en Pest en ¿ltima instancia en, la cansa del conde Sa muel Beleznay, convencido de Eabermuertoásn padreV-Antésde qüe S. M. saliese de aquí le pidieron la gracia del indulto varios parientes y amigos del reo; pero S. M. dio orden á los tribunales: para qüe procediesen con arreglo á la1 ley sin consideracioh á la…</t>
  </si>
  <si>
    <t>Sa, Petronila López Ponce de</t>
  </si>
  <si>
    <t>Petronila López Ponce de Sa</t>
  </si>
  <si>
    <t>…y otras cosas, refrendado del escribano Juan Bautista de Andonaegui. 22. Hijuela formada por el escribano Pedro Sánchez de Buendia, que lo era de provincia, formada por muerte de Doña Petronila López Ponce de Sa las, muger que fue de D. Cristóbal de Isla y Hoscoso, entre los herederos de estos. Legajo sexto. i.° Una escritura de censo que otorgaron D. Juan de Sandoval y su mu ger Doña Felipa de Salazar, vecinos de esta corte, en favor de la capellanía que mandó funda…</t>
  </si>
  <si>
    <t>Saaún, Tomas Aparicio</t>
  </si>
  <si>
    <t>Tomas Aparicio Saaún</t>
  </si>
  <si>
    <t>…consejero de Estado;T&gt;. Guillermo Hualde, consejero de Estado ; Don Josef de Imáz, del Consejo de Estado , y secretario'interino de Estado* y.del Despacho universal -de; Hacienda; D. Tomas Aparicio Saaún, miuiSTf</t>
  </si>
  <si>
    <t>Saavedra, Angel</t>
  </si>
  <si>
    <t>Angel Saavedra</t>
  </si>
  <si>
    <t>…nte director honorario de la aca demia. El patio de la casa estaba adornado grandiosamente con dos grandes cuadros al oleo pintados por el Excmo. Sr. príncipe de Anglona, otro por D. Angel Saavedra, hijo dé los Excmos. Sres. duques de Rívas, y muchos de algunos profesores, como el que representaba la muerte de Lucrecia^ pinta do por D. Josef Madrazo, un S, Fernando para la capilla defcanal por Don Zacarías Veíazquez, y diversos retratos .hechos por D. J…</t>
  </si>
  <si>
    <t>Sabalza, Jacinto Matías de</t>
  </si>
  <si>
    <t>Jacinto Matías de Sabalza</t>
  </si>
  <si>
    <t>…en la calle del Leal, que se reconocieron por Bernardo Serra no de Físueroa, mercader de libros, y Doña Ana Román su muger, y en 2 de Diciembre de 1718 le reconocieron dicho-censo D. Jacinto Matías de Sabalza y Doña Isabel Román su muger, ante Jacobo Ramos Taboada. 17. Un apeo, deslinde y demarcación y amojonamiento á solicitud de la Excma. Sra. marquesa de Mejorada, .respectivo á las posesiones que posee y disfruta en término y jurisdicción de dicha villa, hecho en el año de 1807'.…</t>
  </si>
  <si>
    <t>Sabatier</t>
  </si>
  <si>
    <t>…exo; y deseando ocuparse en la egecucion de ésta jfroyegto con ehesmero que exige su importancia , ha nombrado una comisión compuesta de sus individuos el conde de Tocqueville, el barón Sabatier, el barón Dufour, el presidente Auclatce y Bouquet para el establecimiento da estas escuelas. París € de Enero. «HaCe. algún tiempo que se están sirviendo los ingleses, en lugar de tos ca bles comunes, de una especie de maromas mucho mejores para el uso de la…</t>
  </si>
  <si>
    <t>Sabatini, Antonio</t>
  </si>
  <si>
    <t>Antonio Sabatini</t>
  </si>
  <si>
    <t>…egercicio , en qué hospitales de otros establecimientos prac ticaron , 7 por cuanto tiempo. Se desea saber el paradero de Doña Florentina de Sabatini y Zublaur, hija legí tima de D. Antonio Sabatini y de Doña Josefa Teresa de Zubiaur, vecinos de esta corte, que al tiempo de la invasión de los franceses en 1808 estaba como huérfana de padre y madre ai cargo de D. Francisco Vázquez Somoza , del Real cuerpo de guar dias de Corps en la compañía Española, des…</t>
  </si>
  <si>
    <t>Sacríst, Juárí Bautista</t>
  </si>
  <si>
    <t>Juárí Bautista Sacríst</t>
  </si>
  <si>
    <t>…y se hubiere practicado en Casos sé-i*• me jantes:” ' ■ \ ' El Rf.y nuestro Señor se ha dignado nombrar para el aVzbbispadd de Sari ta Fe de Bogotá, vacante por fallecimiento c^é’ D. Juárí Bautista Sacríst ¡n/af. M. R: P. M. D. Isidoro Domínguez, efe Jos clérigos regulares ;ménores; para la canongía lectoral nuevamente erigida en la santa iglesia catedral de Xíéridá de Maracaibo á D Josef de la.Cruz Olivares: para la ración que se halla va-, cante en la santa i…</t>
  </si>
  <si>
    <t>Sacristán, Eustaquio</t>
  </si>
  <si>
    <t>Eustaquio Sacristán</t>
  </si>
  <si>
    <t>…1808, señalados con los números 1:01793 y 110581, pertene cientes á D. Ignacio Vicente de Errasti, cuyos vales íiieron aprehendidos por el titu lado capitán de híísares de Burgos D. Eustaquio Sacristán, al tiempo que eran remiti dos a su renovación , según estaba íuandadoLpor repetidas órdenes por el comisionado D. Santiago Ayala á esta capital con otros varios, cuyos vales, según ¡noticias en ió de Diciembre de 1873, obraban e^ poder d¡e los Spes. Balmased…</t>
  </si>
  <si>
    <t>Saenz, Joaquín García</t>
  </si>
  <si>
    <t>Joaquín García Saenz</t>
  </si>
  <si>
    <t>…ción de la obra en partes, y satisfizo completamente á cuantas obje ciones se le opusieron y preguntas sueltas sobre las materias de este primer curso. El dia 28 leyeron las suyas D. Joaquín García Saenz y D. Francisco Ruiz de la Herran, aquel sobre las clases improductivas de productos mate riales y productivas de productos inmateriales &gt; proposición^ 33 , y este sobre la rapidez de la circulación activa, proposición 41: el primero satisfizo com pletamente las graves dificultad…</t>
  </si>
  <si>
    <t>…h, y otros tres para loa de Comercio, que consistirán en la aritmética práctica para uso de los negociantes, de Edmundo Degrange, adjudicando aquellos á D. Juan Ruiz de la Herran, D. Joaquín García Saenz y D. Francisco Alami nos ; y los de comercio IR Joaquín García Saenz,, D» josef Gorria, D An tonio Piqueras, y IXRauwii Pacanins' conotro tercer premio; y premios inr feriores á todos los demas,. =’ / V ^ El Real tribunal completamente satisfecho de los adelantamientos de la ju v…</t>
  </si>
  <si>
    <t>Saez, Tibureio</t>
  </si>
  <si>
    <t>Tibureio Saez</t>
  </si>
  <si>
    <t>…de Moya, que hacia las funciones de cura del Real palacio, D. Ramón Aguiriano, que hacia las de maestro de ceremonias, D. Blas-Prats, D. Domingo María Tordera, D. Antonio Bermejo, D. Tibureio Saez, D. Leandro Alvarez, D. Luis Ramírez Mon sal ve, D. Agustín de la Rica * D. Julián Arrea, D. Antonio Ramírez de Arellano y D. Pedro Gil; después de haber cantado nuevamente solemnes responsos la Real capilla, presidida por el limo Prelado, á la una y media pr…</t>
  </si>
  <si>
    <t>Saez, Víctor Damian</t>
  </si>
  <si>
    <t>Víctor Damian Saez</t>
  </si>
  <si>
    <t>…s el Excmo. Sr. D. Santiago Giustiniani, nuncio de S. S., oficiando todas tres la músicá de la Real capilla. Acabada la última misa pro nunció una elocuente Oración fúnebre el Dr. D. Víctor Damian Saez, pre dicador de S. M., y canónigo lectoral de la santa iglesia de Toledo, primada de las Españas; y finalmente dijeron los cinco responsos de costumbre, el primero el obispo de Avila, el segundo el obispo de Teruel, el tercero el in quisidor general, él cuart…</t>
  </si>
  <si>
    <t>Saez, Víctor Damniara</t>
  </si>
  <si>
    <t>Víctor Damniara Saez</t>
  </si>
  <si>
    <t>…paña y de las Indias, por elafllma de su angusta Madre la Sra. Doña María Luisa de Borbon, dijo en la iglesia de S, Francisco el Gran-, dé de Madrid el día 22 de Marzo 4e 1819 ^r* D. Víctor Damniara Saez, predicador de S. M.# y canónigo lectoral de la santa iglesia de loi.edo, prninruda de las Espa dáis. Se vende en, la librería de Ranz, caUé de la Cruz, á’ 4 rs. en rálstica. ! 1 ' ■ -Jiw --- T---- :----------------------- * "• ■"■■■■ ‘¿«.I ■! ■ EN LA IMPRENT…</t>
  </si>
  <si>
    <t>Saftz, Claudio</t>
  </si>
  <si>
    <t>Claudio Saftz</t>
  </si>
  <si>
    <t>…nsideración á que hay necesidad de egecutar di ferentes obras indispensables. Quien quisiere hacer postura á dichas fincas, ó cada una de ellas, acuda á Ja escribañfa de numero de D. Claudio Saftz r en donde: se les en terará de las citadas, obras de necesidad » según la¿ declaración practicada por el ar quitecto D. Juan Antonio-Cuervo* . „ Por la audiencia del Sr. D„ Manuel Josef Rubio , del Consejo dé SI M.-p tenien te co regidor de esta muy heroica…</t>
  </si>
  <si>
    <t>Sagredo, Fernando María López</t>
  </si>
  <si>
    <t>Fernando María López Sagredo</t>
  </si>
  <si>
    <t>…Astorga. De la de Sevilla: A D. Juan Bautista Alberola, corregidor de Andujar. De la de Asturias. , ^ A D. Andrés Josef Amat y Robles, corregidor de Alearaz. í De' la de Aragón. A D. Fernando María López Sagredo, corregidor de Trujillo. v De la de Valencia. A D. Vicente Pedro Rebollo, corregidor de Orense. De la de Extremadura. A D. Juan María Ruano , corregidor de Chinchilla. Honores de oidor de Canarias. A D.-Josef Antonio Morales , alcalde mayor de la Laguna , cap…</t>
  </si>
  <si>
    <t>Saint-Aulairey</t>
  </si>
  <si>
    <t>…vizconde de, Moritmórenci-, ídem; conde Chapral; Idem ; barón Pasquier, ministro de Estadqymiembro de la. Cámaré de los Diputados; conde Dará, Par de Francia; tofideMbliieh ;idcm; conde Saint-Aulairey miembro de la Cámara de los Diputados; conde Bigot de Preameneu, miembro de la comisión de los hospicios; Mr. Roy, ministro de Estado, miembro de laCámara de los Dipurádos; barón Délaítre, miem bro de la Cámara, de los Diputados5 el dbate Desjardins, cura de…</t>
  </si>
  <si>
    <t>Saint-Cyr, Gouvion de</t>
  </si>
  <si>
    <t>Gouvion de Saint-Cyr</t>
  </si>
  <si>
    <t>1 °33 FRANCIA. . &gt; Parts 25 de Setiembre. El día 21 á las siete de la noche llegó á esta corte el mariscal Gouvion de Saint-Cyr, ministro de la Guerra. pícese que ha comprado el Gobierno el apreciable gabinete de Mr. Lelievre, inspector general de minas , é individuo del instituto, y que esta exce lente colección, fruto de 30 años de sacrificios y diligencias, se distribuirá entre la…</t>
  </si>
  <si>
    <t>Saint-Helens</t>
  </si>
  <si>
    <t>…alud de S. M. Después llegaron el arzobispo de Cantorbery, él obispo dé Londres, el lord canciller , el duque de Montroe, el marques de Camben, el conde de Winchelsca, lord Aod^n, lord Saint-Helens, lord -Hénley, el conde de Madesfield y sir W. Grant,' qué son todos los individuos que componen el conse jo, excepto el arzobispo de Yorek. Los cinco médicos que asisten al Rey presentaron el informe mensual sobre el estado de su salud, y en seguida los indi…</t>
  </si>
  <si>
    <t>Saint-Marck, Felipe</t>
  </si>
  <si>
    <t>Felipe Saint-Marck</t>
  </si>
  <si>
    <t>…ro 'Señor por el ministe rio de Guerra con el plausible- motivo de su augusto enlace. - - - Xa gran cruz de la orden militar de S. Fernando. ; '• CT .. A los ¿tenientes generales. D. Felipe Saint-Marck, y D; Francisco Xavier Abadía. / ' ‘ : &gt; . ■&gt; • ; ;Honores de la Cámara de Guerra. ' ¿v - .i r A D. Josef Manuel de Arjona, ministro del Consejo supremo dé la&gt;Gudrra, y corregidor de Madrid. ' ... .j. j; , Honores de ministros del Consejo supremo de la Guerra…</t>
  </si>
  <si>
    <t>Sainz, Francisco</t>
  </si>
  <si>
    <t>Francisco Sainz</t>
  </si>
  <si>
    <t>…la tropa de mi man do en este día, y muy particularmente á los capitanes D. Juan Josef Hidal go, herido con dos balazos; D. Antonio Vázquez, que salió contuso; D. Be* nito Boves y D. Francisco Sainz; los tenientes D. Hilario Noguera; D. Juan Bolet, D. Josef Antonio García y D. Benito Ostos; los subtenientes D. Fran cisco Bolet y D. Manuel Rodríguez; los sargentos primeros Agustín Luqué y Pascual Soto, y los segundos Pedro Heredia y Paz Perez, distinguién…</t>
  </si>
  <si>
    <t>Sainz, Manuel</t>
  </si>
  <si>
    <t>Manuel Sainz</t>
  </si>
  <si>
    <t>…ieulant y Altamirano. Honores de secretarios del Rey. A D. Josef de la Torre y Sainz, y D. Francisco Blasco y Tejedor. Plazas supernumerarias de gentileshombres de la Real casa. A D. Manuel Sainz de la Maza; D. Santiago Vicente Masarnau y Fer-</t>
  </si>
  <si>
    <t>Saiz, Antonio</t>
  </si>
  <si>
    <t>Antonio Saiz</t>
  </si>
  <si>
    <t>…o la junta general de distribucioh de premios en obsequio de S M. ^el RuY nuéstro*Séñor;KSe reunieron para este acto de be^ neficéncía pijbHca en la sala dél M. N¿ ayuntamiento el Sr. D. Antonio Saiz: de Zafra, intendente de esta provincia, Segundo director de ¿este Real cuer po, los gefes .militRtes' y. civiles.,4 -algunos -capitulares ' dél limo; cabildo de lá santa iglesia, -la ^noblezanobleza&lt;de amb^ t*seÍKlSvlloí*an(aeSftros y ;aUimhos &lt;qüe debía*</t>
  </si>
  <si>
    <t>Saiz, María del Carmen</t>
  </si>
  <si>
    <t>María del Carmen Saiz</t>
  </si>
  <si>
    <t>…a librería de Francés, calle de las Carretas. Un cuaderno de 12 cabezas sacadas de las obras de Rafael de Urbino, muy úti les para las jóvenes que aprenden el dibujo, grabadas por Doña María del Carmen Saiz, única discípula de la Real academia de S; Fernando, y la primera académica de mérito por el arte del grabado que se ha'conocido en España. Se hallará en la li brería de la viuda de Illescas, calle ancha de Majaderitos, á 30 rs. cada cuaderno; y cada hoja sue…</t>
  </si>
  <si>
    <t>SaJazar, Heméterió</t>
  </si>
  <si>
    <t>Heméterió SaJazar</t>
  </si>
  <si>
    <t>…giosos agustinos : su do tación es la de 9 rs. diarios con la carga de una misa cada semana. Si algún sacerdote quisiere emplearse en este ministerio podrá dirigir su pretensión á D. Heméterió SaJazar, D. Fausto de Almarza, ó D. Antonio Lino Cordon de Tejada, presbíteros beneficiados en la parroquial de dicha villa, y patronos de la citada obra pia. Suscripción al compendio del ano Cristiano, segunda edición: comprende la ex plicación del misterio ó la vid…</t>
  </si>
  <si>
    <t>Sal, Félix</t>
  </si>
  <si>
    <t>Félix Sal</t>
  </si>
  <si>
    <t>…ue proporciona á los minos de su cargo la instrucción cristiana y política de que son susceptibles, de acuerdo con el al calde mayor el Lie. D Tiburci &gt; Agían y el cura párroco Dr D. Félix Sal cedo Alvarez de Toledo, reunidos en las casas consistoriales, con asistencia de los sugetos de la mayor distinción de ambos estados, se celebraron exámenes públicos, presididos por el alcalde mayor, en los cuales se dio principio por un discurso que pronunció…</t>
  </si>
  <si>
    <t>Sal-</t>
  </si>
  <si>
    <t>…nde de Warwick los diversos asuntos que se mencionan en el discurso dirigido al Parlamento por el Príncipe Regente, propuso que se contestase á S. A. por medio de un mensage; y el lord Sal-* toun apoyó la propuesta. El marques de Lansdown, después de manifestar que no se oponía de modo alguno al mensage, hizo algunas observaciones sobre varios puntos de! discurso del Príncipe Regente, y señaladamente sobre lo que dice relación á la paz de la Eur…</t>
  </si>
  <si>
    <t>Salazar, Antoiiio López</t>
  </si>
  <si>
    <t>Antoiiio López Salazar</t>
  </si>
  <si>
    <t>cantidad de 334,175 rs. vfi. Quien q,insiere hacer postura acúda'ante dicho'señor juez y escribanía vacante de D. Antoiiio López Salazar, que se admitirán las que se hicie,ren siendo arregladas. El prepósito de la Real congregación de presbíteros seculares de S. Felipe Neri de esta corte, patrono de la memoria que para casar huérfanas ó tomar estado de re ligión fundó en dicha congregación Doñ…</t>
  </si>
  <si>
    <t>Salazar, Antonio López de</t>
  </si>
  <si>
    <t>Antonio López de Salazar</t>
  </si>
  <si>
    <t>…sepalado para el nuevo remate el día 31 de este mes, á las 12 , en la audiencia del mismo* j señor..f ' 1 En'el Reaí y supremo Consejo de Castilla, por la escribanía de cámara de Don Antonio López de Salazar, se siguen autos por parte de Doña Catalina de Sierra y Ovando, guarda mayor* de Damas.de S. M., con D. Melchor de la Guardia y de mas hermanos herederos abintestato de D. Jaime de la Guardia, sobré que la de vuelvan, la dote que llevó su hija Doña' María Ter…</t>
  </si>
  <si>
    <t>…r dobesa , comprende 46 fanegas ide tierra, en que se incluyen ig£ obradas de viña^ tasada en 21,069 rs. í En el Real y supremo Consejo de Castilla, por la escribanía de cámara de Don Antonio López de Salazar, se siguen autos por parte de Pona Catalina de Sierra y Ovando, guarda mayor de Damas de S. M., con D, Melchor de la Guardia y de más hermanos herederos abintestato de D. Jaime de la Guardia, sobre que la de vuelvan la dote que llevó su hija Doña María Teresa…</t>
  </si>
  <si>
    <t>Salazar, DI Pablo</t>
  </si>
  <si>
    <t>DI Pablo Salazar</t>
  </si>
  <si>
    <t>rt i'9't días ellas. También es digno de la consideración del Excmo. Sr. general en ge fe el capitán D. Benito Franco y el teniente DI Pablo Salazar; él que ademas de haberse distinguido en lo riguroso dé la acción , se quedó’de observación en nuestra retirada, y batió con cuatro carabineros á un capitán y 70 solda dos enemigos que se estaban reuniendo, tomando prisionero al capitán y siete. Hombres, matá…</t>
  </si>
  <si>
    <t>Salazar, Felipa de</t>
  </si>
  <si>
    <t>Felipa de Salazar</t>
  </si>
  <si>
    <t>…ce de Sa las, muger que fue de D. Cristóbal de Isla y Hoscoso, entre los herederos de estos. Legajo sexto. i.° Una escritura de censo que otorgaron D. Juan de Sandoval y su mu ger Doña Felipa de Salazar, vecinos de esta corte, en favor de la capellanía que mandó fundar el Dr. Gabriel Vaquero de 61,068 rs. de principal sobre sus bienes raíces, su fecha 23 de Abril de 1Ó90, ante Manuel Martínez de Uriarte, escribano de provincia de esta corte. 2.0 Escritura de…</t>
  </si>
  <si>
    <t>Salazar, Manuel</t>
  </si>
  <si>
    <t>Manuel Salazar</t>
  </si>
  <si>
    <t>…atieron con entusiasmo t y á su egemplo se presentaron los de leque y Taracachi; siendo el resultado, y el de varios encuentros ocurridos anterior mente, haber hecho prisionero al capitán Manuel Salazar, que fue fusilado; haber tenido los enemigos 49 muertos, algunos heridos, 30 caballerías, ía mayor parte ensilladas, y todo el equipage que aprovechó la tropa; consis tiendo nuestra pérdida en un muerto y nueve heridos, entre ellos cinco de consideración.—. H…</t>
  </si>
  <si>
    <t>Salcedo, Antonio Martínez</t>
  </si>
  <si>
    <t>Antonio Martínez Salcedo</t>
  </si>
  <si>
    <t>…. - A D. Josef Cecilio de la Rosa; D. Agustín Sojo; D. Manuel Riega, y Don Josef Cabeza de Mora , oficiales de la secretaría de Estado y del Despacho dé Gracia y Juncia de España; D. Antonio Martínez Salcedo y D. Sebastian Hurtado. ' Honores de secretarios del Rey* A Frey D. Josef de Gortari, sirviente de armas de la orden de S. Juan de Jerusalen, y secretario de ía misma; D. Manuel María Segura, escribano de cámara, y secretario del Real Acuerdo de la chancillería de,Granada; Don Luis…</t>
  </si>
  <si>
    <t>Salcedo, Juan</t>
  </si>
  <si>
    <t>Juan Salcedo</t>
  </si>
  <si>
    <t>…uan Martin Taber nero, por idem, 12 rs. mensuales. Núm. 7.0 £&gt;. Antonio Valenzuela, por ídem, 20 rs. semanales. Núm. 8.° D. Federico Moretti, por idem, 100 rs. mensuales. Núm. 9.0 D. Juan Salcedo, por tres meses, con 60 rs. cada uno. La Real sociedad económica matritense, en cumplimiento de la Real or* den de 19 de Agosto próxiino pasado, que se la ha comunicado por la pri mera secretaría de Estado ,i señala él dia 9 de Diciembre próximo para la aper…</t>
  </si>
  <si>
    <t>Salcedo, Juan Antonio</t>
  </si>
  <si>
    <t>Juan Antonio Salcedo</t>
  </si>
  <si>
    <t>…ancisco Navarro, maestro bordador, 130. Núm. 46. D. Juan de Lecanda 100. Nú mero 47. D. Ramón Ramos y Poveda 100. Núm. 48. D. N. 40. Núm. 49* D. Laureano Ramos y Peña 20. Núm. 50. D. Juan Antonio Salcedo, cura de S. Ginés de Madrid, 300. Núm. 51. D. Pedro Marcelino Blanco 20. Nú mero =52. El señor cura cíe S. Ginés, por limosnas que le han entregado algu nos feligreses, 212. Núm. 53. D. Esteban Morales 40. Núm. 54. D. Q. B. H. 500. Núm. 55. Doña G. C. 40. Núm…</t>
  </si>
  <si>
    <t>…r su augusto enlace, en nombre dél venerable cabildo de curas y beneficia dos -de Madrid, los Sres. D. Antonio Martínez de Velasco, cura de Santiago y S. Juan, y abad del cabildo; D. Juan Antonio Salcedo, cura de S. Ginés, decano; D. Domingo Alvarez,. beneficiado propio de Santiago y S. Juan, archivero; y. D. Felipe Guio, cura de S. Andrés, secretario; de los cuales el primero arengó á S. M. en los términos siguientes: Señor: ,,El cabildo de curas y beneficia…</t>
  </si>
  <si>
    <t>Salerno, Príncipe de</t>
  </si>
  <si>
    <t>Príncipe de Salerno</t>
  </si>
  <si>
    <t>…a Doña Luisa Carlota de Nápoles el dia 15 de Abril próximo pasa do, á las ii de la mañana, en la Real capilla de palacio, por poderes qué dió S. A. el Sermo¿ Sr. Infante al Sermo. Sr. Príncipe de Salerno. Asistieron á tan solemne acto los embajadores y ministros extrangerosy los gefes y em pleados en palacio y ministerios:, y los caballeros y damas de la lista de la corte , todos en gran « gala , conforme. á lo prevenido por ‘Si Mv el Rey dél reino-unido de l…</t>
  </si>
  <si>
    <t>Salgado, Juana Isidora</t>
  </si>
  <si>
    <t>Juana Isidora Salgado</t>
  </si>
  <si>
    <t>…de S. Basilio: Doña Manuela--Nieto, discípula de la Real escuela del barrio de S. Plácido: Doña María Fernandez, discípula y pasanta de la Real escuela del barrio del Buen-Suceso: Doña Juana Isidora Salgado, discípula y pasanta dé la Real escuela deF barrio dé $. Antonio Abad: Doña Máría N¡-r dó, discípula y pasanta dé la Real escuela ¿fel barrio de Mpnterey: Doñí' María Caballero, discípula pasanta dé la Real escuela del barrio de S-Plá cido: Doña Polonia Büsé…</t>
  </si>
  <si>
    <t>Salgado, Ventura</t>
  </si>
  <si>
    <t>Ventura Salgado</t>
  </si>
  <si>
    <t>…o , aigo despejada, se ech iron al agua, sufriendo el fuego que haciati los rebeldes de la parte opuesta. En pocos minutos salieron dos de ellas 1 con seis ho nbres cadi una, y el capitán D. Ventura Salgado, del jregimieijito d$ Castilla ,, fue el primero que pisó la ribera defendida por los enemigos , los cuales desaparecieron por entonces. : ; ■ . • * ,,La mayor actividad unida al entusiasmo de estas tropas, que todas á porfía querían ser las primeras en verif…</t>
  </si>
  <si>
    <t>Salinas, Raimundo Ettenhard y</t>
  </si>
  <si>
    <t>Raimundo Ettenhard y Salinas</t>
  </si>
  <si>
    <t>…al mano. ; . , • En el mismo dia tuvo el honor de felicitar á S. M. por su augusto en lace con la Serma,. Sra., Doña María Josefa db Saxonia la ciudad de Vitoria, representada por D. Raimundo Ettenhard y Salinas, del Consejo de S. M. en el de la suprema, y general Inquisición , y el brigadier de los Reales egércitos D. Redro de la Cuesta; el primero dijo: SkSor : ,,La M. Nv y M. L.'eiudad de Vitoria, cabeza de la provincia de Alava, noblemente orgullosa por haberla c…</t>
  </si>
  <si>
    <t>Salmón, Antonio González</t>
  </si>
  <si>
    <t>Antonio González Salmón</t>
  </si>
  <si>
    <t>…segundor primero- jubilado deja-secretaría dé Estado y del Despacho Universal de la Guerra; á'D.Fraiisvistió.Roldad), intendente i de Marina -del departramenta. deli Ferrol,‘y í‘ Don Antonio González Salmón, intendente honorario de egéreitof. • r, '. ^ Honores secretarios del Rey. A D. Josef de Andrés y Guzriiany D. Francisco de Vargas, oficiales eüartoly quihto.de la secretaría del Consejo supremé» de la’.Guerra,ry á Don tornan Lorenzo Calvo, escribano de Cámar…</t>
  </si>
  <si>
    <t>1126</t>
  </si>
  <si>
    <t>…venido efr exonerarle de aquel encargo, con cediéndole , en premio de sus buenos servicios; los. honores de mi Consejo de Estado; y nombrar para el desempeño de dicho ministerio á D. Antonio González Salmón, consejero honorario de Guerra. Tendréislo entendido, y lo comunicareis á quien corresponda para su cumplimiento. Jfalácio 3 de No viembre de 1819. = Al duque de S. Fernando.” ./ ’f." • ■ , ’y Con motivo del fallecimiento de S. M. el Rey de Cerdeña Cárlos Mah…</t>
  </si>
  <si>
    <t>…as calle de las Carretas, á las 10 én punto de la mañana, presidiéndola conforme á su instituto la junta de go bierno de la misma compañía , y á ambas su presidente nato el Excmo. Señor D. Antonio González Salmón, secretario de Estado y del Despacho universal de Hacienda, si sus ocupaciones se lo permitiesen. Los accionistas que tuvie ren 20 ó mas acciones propias deberán hacerlo constar en la secretaría de Ja compañía-, exhibiendo las acciones , ó entregando testimon…</t>
  </si>
  <si>
    <t>Salmón, Manuel González</t>
  </si>
  <si>
    <t>Manuel González Salmón</t>
  </si>
  <si>
    <t>…dela de S. Genaro dé Ñápeles, gentilhombre de Cámara deS. M. con egercicio, mayordomo y caballerizo mayor de Jos expresados Sermos. Sres» Infantes,dijo: que por acto que pasó ante D. Manuel González Salmón, caballero- pen sionado de Ja Real y distinguida orden española de; Carlos ni, de Ja de Santa? Ana de segunda cíase en diamantes de. Rusia, oficial de la,Real órden -de la1 legión de Honor de Francia, ministra consejero rey de armas deda insigneorden del Tois…</t>
  </si>
  <si>
    <t>Salmón.’, Manuel González</t>
  </si>
  <si>
    <t>Manuel González Salmón.’</t>
  </si>
  <si>
    <t>…tenciario en la corte de Saxonia. Tetidreisld ‘entendido', y dispondréis lo necesario para su cumplí-' miento. Rubricado dé la Real mano.. Palacio á i2i!de Setiembre ^é 1819. =: A D. Manuel González Salmón.’* , * * " ' I * ' El Rey nuestro Señor ha resuelto que se vista la. corte de luto riguroso en los días 17 y 18 del corriente con motivo de la traslación de los Reales, cadá-r veres de los Señores Reyes Padres al: panteón 'del Real monasterio de S. Lorenzo del…</t>
  </si>
  <si>
    <t>Salnjon, Manuel González</t>
  </si>
  <si>
    <t>Manuel González Salnjon</t>
  </si>
  <si>
    <t>….MINISTERIO I&gt;E ESTADb. „ / \ , ,yf r.A.'J 5 '-t ■ ■; : * _ Plaza 'efectiva en'el ConsejoEstado» Al Iínio. Sr, obispo de Tarazona, inquisidor general. Honores del mismo Consejo. A D. Manuel González Salnjon, ministro nombrado para la corte de Saxonia; ,D. Justo María Ibar-Navarro, ministro honorario del Consejo y Cámara, y D. Víctor Soret, tesorero general. "' Grandezas. ; - í, \ : •• ’ ' ’ 1 ' &gt; ■ ' ■ Al conde de Pino-hermoso de primera clase, y al marques de S…</t>
  </si>
  <si>
    <t>Salucí, Vicente</t>
  </si>
  <si>
    <t>Vicente Salucí</t>
  </si>
  <si>
    <t>…persona que quisiere hacer pos tura á ellos lo verificará en dicha audiencia y escribanía, ddnde se admitirán siendo arregladas. El señor marques de Montemasi y de Rocca Federighi D. Vicente Salucí ha acu dido ante el Sr. D. Angel Fernandez de los Rios, del Consejo de S. M., primer te niente corregidor de esta muy heroica villa, y por la escribanía del numero cíe Don Bernardo Diaz de Antoñana, exponiendo que por el secuestro sufrido en el año de 1805 po…</t>
  </si>
  <si>
    <t>Salud, Vicente</t>
  </si>
  <si>
    <t>Vicente Salud</t>
  </si>
  <si>
    <t>…ormenores, y todo lo demás ocurrido con tan plausible motivo., se publicará á su debido tiempo en gaceta ex traordinaria. ARTICULO DE OFICIO. Con motivo de las comisiones que tuvo D. Vicente Salud, marques de Montemasi, para surtir de tabaco de hoja brasil á la Real Hacienda en los años de 1798, 1799 y 1800 , se le formó por esta úna causa en el de 1805 con secuestro general dé sus bienes y de su casa social de banca y giro sobre perjuicios que se supo…</t>
  </si>
  <si>
    <t>Salvadojr</t>
  </si>
  <si>
    <t>…con el mismo nombre ha fundado S. M. I, y R., las diligencias conve nientes á efecto, de' que en cambip de la insignia de la antigua se les conceda la de esta nuévá orden. ‘ r ' . D. Salvadojr/Ductíéñ'del Prlnci, grabador hqnprario dé' C|háár&amp; aé'.S.‘ ‘ por el ramo de dorado en cristales, disecador del Real gabinete de Historia natural, individuo de la Real sociedad económica.matritense^cke., hace.presen te al publico, que el dia 15 del corriente s…</t>
  </si>
  <si>
    <t>Salvat, María Francisca Boatella y</t>
  </si>
  <si>
    <t>María Francisca Boatella y Salvat</t>
  </si>
  <si>
    <t>…l Real y Supremo Consejo de Castilla dé % de Setiembre delaño pasado, entre otras cosas se manda se cite y emplace por medio de la gaceta ministerial á los parientes de la difunta Doña María Francisca Boatella y Salvat, viuda de-D. Eudaldode Boatella y Llopis , moradora de la parroquia de rS. Martí de. Boatella, sufragánea de la ¡iglesia parroquial .de S.Vicente de Palmerola, ^obispado 'de Solsoqa, hija de D. Juan Bautistá Salvat y Gullar Burges de Peipiñaa y de Magdalena S…</t>
  </si>
  <si>
    <t>Salvatierra, Valeriano</t>
  </si>
  <si>
    <t>Valeriano Salvatierra</t>
  </si>
  <si>
    <t>…binete de retratos se colocaron los tres bustos .en yeso de los Sermos. Sres. Infantes D. Gárlos, Doña María Francisca y D. Cárlos Luis, hechos con mucha propiedad y semejanza por D. Valeriano Salvatierra, es cultor honorario de Cámara de S. M;, y teniente director honorario de la aca demia. El patio de la casa estaba adornado grandiosamente con dos grandes cuadros al oleo pintados por el Excmo. Sr. príncipe de Anglona, otro por D. Angel Saavedra, hijo dé los…</t>
  </si>
  <si>
    <t>Sályador</t>
  </si>
  <si>
    <t>…20 en -pasta. ■ i:. ■ -vJ ■■■- &lt;1 ■ ' • • " Nata. ? fel tratado del bien de ía vejiéz / qiíe. seíamip¿ió "en la g^cetá del márteí miy de Atril próximo pasado , estáTrádiitiáó pór D. Sályador; de Jócano , caqónigb df lásanta%lesia catedfál de Plá^¿ciá:;; ; ; K . i .■{}*?' ■a. LA^IMPRENTA &lt;/:</t>
  </si>
  <si>
    <t>San</t>
  </si>
  <si>
    <t>…pa ra distribuirlos d los criadores del ganado yeguar que los pidan, en los términos que en dicha orden se previene. El Rey nuestro Señor se ha servido conceder su Real permiso á D. San tiago González, regidor de la ciudad de Cartagena de Indias, para que pue da usar la condecoración de la flor de Lis con que le ha agraciado S. M. Cris tianísima en premio de su adhesión á la augusta dinastía de los Borbones. Por Real resolución dada á la con…</t>
  </si>
  <si>
    <t>Sán, Giués</t>
  </si>
  <si>
    <t>Giués Sán</t>
  </si>
  <si>
    <t>…llo de .$« Felices de los Gallegos aí capitán Don Ántonino López, ayudante segundo del regimiento de infantería Imperial Ale jandro : la tenencia de Rey de la plaza de Zaragoza al coronel D. Giués Sán chez, comandante de batallón del regimiento, de infantería de Galicia: la sar gentía mayor de la plaza ¡de Gerona á D. Ventura Mena y Ferran, primer teniente del segundo regimiento dé Reales guardias.de infantería; y en América la capitanía general de la isla…</t>
  </si>
  <si>
    <t>San, Tomas de</t>
  </si>
  <si>
    <t>Tomas de San</t>
  </si>
  <si>
    <t>…Fernandez de los Ríos, del Consejo de S. M , teniente primero de corregidor de esta muy heroica; villar, á quien está cometida dicha Real facultad, por la escribanía de numero de D. Tomas de San cha y Prado. . : En virtud' de providencia del Sr. EX. Angel Fernanderde los Ríos, del Consejo de S. Mi í teniente primero de corregidor de esta muy heroica villa, y escribanía del número al cargo de D. Anselmo Ordoñez, se venden dos casas sitas en esta corte…</t>
  </si>
  <si>
    <t>Sanca, Pío</t>
  </si>
  <si>
    <t>Pío Sanca</t>
  </si>
  <si>
    <t>…nda &amp;c. &amp;c.', y. egercitaron los discípulos D. Luis Uribe, D. Genaro González, D. Pedro Lean dro Romero, D/ Joaquín Martiñ dé ÑkqláSV'EX Antoñló García Pozó, í&gt;on Vicente Losada y D. Pío Sanca. Sin embargo' dé quetodos lós-aspirantes á los referidos premios han excedido en laSpfúebás'tjúelháñ^dádó para lograr los las esperanzas de- sus mismos catedráticos*, y1 llenado de satisfacción y placer ádos Varios sugetos particulares que han tenido la bonda…</t>
  </si>
  <si>
    <t>Sánchez, Epitacio</t>
  </si>
  <si>
    <t>Epitacio Sánchez</t>
  </si>
  <si>
    <t>…nero 26 dé rS8i9.= Epitacio Sanchez.;==Sr. brigadier y com&amp;ndánte ^gefiéfáí I&gt;. Müchoir rAlvárez.” • : •: V- ; ‘ r -’1 ,j!- ’• : ó' ■ ■ ' ■ . „ . . ' '• • • ' i Parte del teniente coronel D. Epitacio Sánchez al comandante D. Pablé FÍaría de Mouliad. ' . : . . T , ' 1 ib incumplimiento á láMrden del brigadier D. Melchor AlvarezV, fecha 22 .dehquejrigei, que vmd... me comunicó con la -dé 2f dél rñism'o, cóncernientfc á que persiga y destruya los rebeldes acaudillad…</t>
  </si>
  <si>
    <t>Sánchez, Epitado</t>
  </si>
  <si>
    <t>Epitado Sánchez</t>
  </si>
  <si>
    <t>…se sirva presentar una ley de reforma conforme á los principios expresados en este discurso. ESPAÑA. ', México 23 de Junio. Continuación de los partes de Nueva-JEspaña. Parte del capitán D. Epitado Sánchez al comandante E&gt;. Josef Cristóbal Villaseñor. ^Conforme á las órdenes devmd. salí á las tres de la mañana de este'punto con 50 infantes de Zaragoza, 25 dragones de Sierragorda, y los ico hom bres de que se compone Ta partida de mi inmediato mando. „ Después d…</t>
  </si>
  <si>
    <t>Sánchez, JEpitado</t>
  </si>
  <si>
    <t>JEpitado Sánchez</t>
  </si>
  <si>
    <t>…i de dos modos á purificar la atmósfera de los planetas, y a. fo mentar la vegetación. ESPAÑA. México 28 de Febrero» Continuación de los partes de Nueva-España. Parte del teniente coronel D. JEpitado Sánchez al comaridante general JJ&gt;. Melchor ,Alvarez. •. .. . - ■ ,, Mi general: Con una satisfacción indecible participo á V. S; que al amanecer del dia de hoy he tenido la gloria de batir y destruir completa mente la gavilla de rebeldes acaudillada por Mateo Hernán…</t>
  </si>
  <si>
    <t>Sánchez, Josef Rtiiz</t>
  </si>
  <si>
    <t>Josef Rtiiz Sánchez</t>
  </si>
  <si>
    <t>…sección á recorrer la barranca de Tepanapa , eri donde se habían presentado lós rebeldes la tarde del diá ante rior, mandando para proteger ésta, operación al capitán de realistas D. Josef Rtiiz Sánchez con 40 nombres dé Tiaxcala y sus realistas, quien se; halló con los rébeldes á íá: subida de ía barranca , y habiéndolos batido se consiguió el resñltadó de tres muertos por parte de la; sección de Ruiz Sánchez y Jós pór la dé Alvargonzalez, habiéndose éogido…</t>
  </si>
  <si>
    <t>Sánchez, Ruiz</t>
  </si>
  <si>
    <t>Ruiz Sánchez</t>
  </si>
  <si>
    <t>46S # A las ii de la mañana del misino día situé mí campo % y en' seguida destaqué fo realistas al mando de su. capitán Ruiz Sánchez á reforzar una par tida que de la sección de Huatusco había destinado á su comandante con el objeto de perseguir algunos de la gavilla de Casas, que estaba situada en lá barranca y paso del teniente, retirándose ambas partidas á las ^cuatro del* tarde sin nov…</t>
  </si>
  <si>
    <t>Sandhlio</t>
  </si>
  <si>
    <t>…ército al Lie. D. Blas Garpía, residente 'en la ciudad d'e Astorga; á D. Segundo Montesino, residente eiifla vilÍ'a de Valencia' He Alcántara ,* iprdvíncia de jExtremádura, y. á ‘ D. Sandhlio de'Castro, farmacéutico én es‘ta Corte ;'declarando al mismo tiempo le ha^ si4q muy .grata á S,pM*... la jCésipn. .que.. respectivamente • han hecho de la pensión que con arreglo á la Real, orden circular, de 19 de Junio de 1815:, .debían disfrutar , y que se…</t>
  </si>
  <si>
    <t>Sandoval, Antonio</t>
  </si>
  <si>
    <t>Antonio Sandoval</t>
  </si>
  <si>
    <t>…s bizarros t). Mariano Peraza y D. Antonio Naranjo, tenientes de este regimiento; á los activos ayudantes D. Cosme Rodríguez y D. Luis de Aguado; al alférez de la séptima compañía D. Antonio Sandoval; al sargento primero Josef Serrano; al segundo Josef María Sierra; al cabo primero Josef María Pernálete; al de igual clase Antonio Amores, y á los dragones Josef Ortiz, Manuel'Paredes, Joséf Tovar, Pedro García , Juan Barretó y Miguel Laya, como igualmente a…</t>
  </si>
  <si>
    <t>Sandoval, Juan de</t>
  </si>
  <si>
    <t>Juan de Sandoval</t>
  </si>
  <si>
    <t>…erte de Doña Petronila López Ponce de Sa las, muger que fue de D. Cristóbal de Isla y Hoscoso, entre los herederos de estos. Legajo sexto. i.° Una escritura de censo que otorgaron D. Juan de Sandoval y su mu ger Doña Felipa de Salazar, vecinos de esta corte, en favor de la capellanía que mandó fundar el Dr. Gabriel Vaquero de 61,068 rs. de principal sobre sus bienes raíces, su fecha 23 de Abril de 1Ó90, ante Manuel Martínez de Uriarte, escribano de provin…</t>
  </si>
  <si>
    <t>Sanmartín, Manuel Zorrilla</t>
  </si>
  <si>
    <t>Manuel Zorrilla Sanmartín</t>
  </si>
  <si>
    <t>…es hace saber por este periódico para que concurran á dicha junta, pues de lo contrarió les parará el perjuicio que haya lugar. ( . Se llama á los acreedores á la testamentaría de D. Manuel Zorrilla Sanmartín, que fue del comercio de lienzos en esta corte , pata que dentro de 30 dias precisos se presenten por medio de procurador, con suficiente poder, á usar de sus acciones efi los autos dé dicha testamentaría pendiente íapte^el Sr. D; Manuel Josef Rubio ,' del Co…</t>
  </si>
  <si>
    <t>Sanponts, Francisco</t>
  </si>
  <si>
    <t>Francisco Sanponts</t>
  </si>
  <si>
    <t>…o sentimiento dé que todos sus habitantes estaban penetrados» Barcelona i(f de Abril. En la sesión que celebró la Real academia dé Ciencias naturales y Artes de esta ciudad el Dr. D. Francisco Sanponts en calidad de ■supernumerario de la dirección de agricultura leyó un discurso sobre la fabricación del atroz y dél aguardiente de patatas , én él Cual , después -de haber-establecido que este fruto es originario de diferentes islas de América, Jo probó señala…</t>
  </si>
  <si>
    <t>Santia</t>
  </si>
  <si>
    <t>…s, á 2 rea les cad-a billete. A virtud de providencia del Sr. D. Joaquín de Almazan, del Consejo cíe M.', y alcalde de su Real'Casa y Corte , refrendada del escribano de provincia D. Santia go Manuel de Albóniga en,4 del corrientey á instancia del hermano Juan Anto-</t>
  </si>
  <si>
    <t>Santiago</t>
  </si>
  <si>
    <t>…a Reh** nuestra Señora, acordó celebrar exequias correspondientes á su alto carácter el día 2 del presente: se verificó esta solemne función en la iglesia parroquial principal del Sr. Santiago de dicha ciudad, asistiendo el clero y las comuni dades religiosas, y habiendo precedido misas y responsos rezados por su eter no descanso. El ayuntamiento, las autoridades, gefes-y demas individuos mi litares , los empleados en la Real Hacienda, la nobleza y…</t>
  </si>
  <si>
    <t>Santiago, Juan Manuel</t>
  </si>
  <si>
    <t>Juan Manuel Santiago</t>
  </si>
  <si>
    <t>…e, y con la mayor; appríurijd^d.! ; Igualmente á nombre de la sociedad económica de Amigos del país-de Rioja se presentaron en Vitoria á S.,M. su director D- Francisco Campirano y D. Juan Manuel Santiago, prior de la iglesia parroquial de Palacio de Lo-^ : ........groño; y el primero dijo:. ........</t>
  </si>
  <si>
    <t>Santih, Tomas Aparicio</t>
  </si>
  <si>
    <t>Tomas Aparicio Santih</t>
  </si>
  <si>
    <t>…iglesia de Toledo, primada de las Españas, representado por sus individuos el Emo. Sr. cardenal patriarca'de las Indias D. Francisco Gebriañ y Valda, arcediano titular; el Exorno. Señor D. Tomas Aparicio Santih, colector general de Espolios y Va cantes, consejero honórário de Estado, arcediano de Madrid, y los canónigos D. Gabriel de Hevia y Noriega, decano del Consejo de la suprema -general Inquisición, y D. Cayetano Campos, cura del Real palacio, y ministro ho nor…</t>
  </si>
  <si>
    <t>Santillan, Julián Velarde y</t>
  </si>
  <si>
    <t>Julián Velarde y Santillan</t>
  </si>
  <si>
    <t>…ale, Don Santiago Posadillo y Chavarri, D Rafael Sentistillano y Pescio, D. Luis Basols y Marañosa, D. Josef Pezuela y Heres, D. Juan Eiizaide y Royo, ,D. Diego Guerrero y Sedaño, D. Julián Velarde y Santillan, D. Josef Abev11a y Conde, D. Juan Teran y Caldera , D. Juan DFIerve y Paredes, Don Francisco Navas Garro de Ulloa, D. Antonio Solís y González, D. Julián Giraldo y Molina, D. Joaquín Muñoz y Larraiñzár ¿ D; Salvador Hidalgo y Sarria, D. Juan Labastida y Bust…</t>
  </si>
  <si>
    <t>Santin, Martin</t>
  </si>
  <si>
    <t>Martin Santin</t>
  </si>
  <si>
    <t>…ón D. Pedro Hebrar en el'juzgado del Sr^I&gt;. Angel Fernandez de los Ríos, dei Consejo de S. M., primer teniente de: corregidor de esta muy heroica villa, y escribanía del número de D. Martin Santin y, ^/azquez, se ha vuelto á señalar para ella el domingo 7 de Marzo próximo, á las 10 de su mañana, en la posada de dicho señor; y se repite este anuncio para la concur rencia de los citados acreedores, ,bajo el apercibimiento que contiene el anterior. ; .Qui…</t>
  </si>
  <si>
    <t>Santin, Mastín</t>
  </si>
  <si>
    <t>Mastín Santin</t>
  </si>
  <si>
    <t>…...........—............................. 1 m \ Por providencia del Sr. I). Matjuel Jpsef Rubio, del Consejo de S. M*, teniente corregidor de.esta muy heroica villa, refrendada de,D. Mastín Santin ,y Vázquez 1 es cribano de su número, se ha señalado el dia .31 del corriente, y hora dejas 12 á las puertas de su audiencia, patja al remate de dos haciendas que con Real facultad se venden á censo reservativo redimible con rédito de 3 por 100 anual en térmi…</t>
  </si>
  <si>
    <t>Santin, Tomas Aparicio</t>
  </si>
  <si>
    <t>Tomas Aparicio Santin</t>
  </si>
  <si>
    <t>…hecho asi presente ai Rex nuestro Señor, se ha dignado S. M. aprobar mi propuesta, y se ha ser vido nombrar para presidente de Ja referida junta á V. E¡, y para vocales de ella al'Sr. D. Tomas Aparicio Santin, colector general de Espolios y Va cantes, y á los tenientes generales D. Joaquín María Velarde, marques de Monsalud,; y á D. Luis Alejandro Bassecourt; siendo su soberana voluntad qué los pretendientes á esta distinción presenten por sí ó por sus agentes sus…</t>
  </si>
  <si>
    <t>Santistéban, Francisco Xavier de</t>
  </si>
  <si>
    <t>Francisco Xavier de Santistéban</t>
  </si>
  <si>
    <t>*37 ir. Testamento de Manuel Morón,natúral de esta corte, y vecino del lugar de Vallecas, Casado con Melchora de Igares. 12. Papeles concernientes á D. Francisco Xavier de Santistéban , marques de la Vera , vecino de -la ciudad de Granada. 13. Partición de los bienes, caudal y hacienda que quedaron por falleci miento del Sr. D. Pedro Fermín de Indart y Doña María Lagrasi su muger entre sus hijas y nietos, en cuyo legajo se hallan varios do…</t>
  </si>
  <si>
    <t>Santístéban, Manuel Pico de</t>
  </si>
  <si>
    <t>Manuel Pico de Santístéban</t>
  </si>
  <si>
    <t>…Rubio, del Consejo de S.M., y teniente de corregidor de esta muy heroica villa, se cita, llama y emplaza á todos los acreer dores é interesados á los bienes quedados por muerte de D. Manuel Pico de Santístéban, vecino que fue de esta córte, para que dentro del. término de 30 dias, con tados desde este de la fecha, acudan por sí ó por medio de apoderado legítimo á su juzgado por la escribanía del .número de D. Jacinto Gaona y Loeches á exponer y so licitar lo que á…</t>
  </si>
  <si>
    <t>Santos, Dámaso</t>
  </si>
  <si>
    <t>Dámaso Santos</t>
  </si>
  <si>
    <t>II23 mero 57.-D. Dámaso Santos 20. Núm. 58. El Excmo. Sr. marques de Santa Cruz 320. Núm. 59. D. Antonio Paño ico. Núm. óo. Doña Y- M. 20. Nú mero 61. D. Eugenio Villaseñor 200. Núm. 62. D. N. 320. Núm. 63. Don Manuel de Yela óo. Núm. 64. D. Gregorio ViiUvieja, cura de S. Josef de Madrid,…</t>
  </si>
  <si>
    <t>Santos, Francisco</t>
  </si>
  <si>
    <t>Francisco Santos</t>
  </si>
  <si>
    <t>…tor D. Cayetano Fernandez Villamil. Fueron examinados en aritmética D. Juan Josef Dayovich , D. Angel Urzaiz, D. Bartolomé Martine?, D. Juan Antonio Novo, D. Alejandro Rodríguez , D. Francisco Santos, D. Francisco Calderón y D. Antonio Blanco. E11 geometría elemental el dicho D. Bartolomé Martínez, D. Manuel Barbet, D. Mañuél Díaz,'O. Ramón Pepn , D. Josef Rodríguez Romero y EX Fermín Pedregal. En geometría prác tica el referido Barbet, D. Joaquín y D. Lu…</t>
  </si>
  <si>
    <t>Santos, Francisco Ruano</t>
  </si>
  <si>
    <t>Francisco Ruano Santos</t>
  </si>
  <si>
    <t>…nto, D. Ra món López Solórzano, también regidor perpetuo y alcalde ordinario de la misma , el .capitán D. Bruno de Aeosta y Morales, alguacil mayor de la Real renta de Millones, y D. Francisco Ruano Santos, ambos jurados perpetuos,, y Di Alfonso María de Coto, su escribano mayor.^acompañados del Excelentisimo-Sr. duque dfe Alagon, Grande de España de primera clase, y capitan.de guardias de la Real Persona, por elExcino. Sr. duque de Alba, dignidad y alcaide de…</t>
  </si>
  <si>
    <t>Santos, Josef</t>
  </si>
  <si>
    <t>Josef Santos</t>
  </si>
  <si>
    <t>…mayor tranquilidad, y Jas exageradas noticias' de Chile no han podidq&lt;alterar el ánimo desús habitantes,,, Después de la expedición1 dirigida ¡contra ¿I cabecilla Fernandez por el coronel D. Josef Santos de lá Hera , destaqué-al teniente coronel D. Baldomc ro Espartero contra los caudillos Cueto y Serna, que-se hallaban en las inme diaciones de Majocoya,y por la copia del parte que acompaño se impondrá V. E. de los felices resultados de esta jornada, como tam…</t>
  </si>
  <si>
    <t>Santos, Josef María</t>
  </si>
  <si>
    <t>Josef María Santos</t>
  </si>
  <si>
    <t>…mpo D. Andrés Pinzón, al teniente coronel D. Aparicio de Vídaurrazaga y Menchaca: para la dignidad de chantre de la santa iglesia catedral de Pana má, vacante por fallecimiento de D. Josef María Santos, á D. Tomas Puyol; y para la media ración de la santa iglesia catedral de Valladolid de Mechoacan, vacante por no haber tomado posesión de ella D. Tomas Alvarez ViIlarroel, á D. Juan Romero Perdón, capellán de número de la Real armada. Él R$y se ha servido pr…</t>
  </si>
  <si>
    <t>Santos, María Regina</t>
  </si>
  <si>
    <t>María Regina Santos</t>
  </si>
  <si>
    <t>…a Perez de Vergara ,discípula y pasanta de la’Re'ai escuela gratüita; del barrió de Sta.Cruz:' Doña Josefa Barba josa, discípula y pasanta dé la Real'escuela del barrio de; Pinto; Doña María Regina Santos, discípula y pasanta de la Real escuelndeh barrio de S. Basilio: Doña Manuela--Nieto, discípula de la Real escuela del barrio de S. Plácido: Doña María Fernandez, discípula y pasanta de la Real escuela del barrio del Buen-Suceso: Doña Juana Isidora Salgado, d…</t>
  </si>
  <si>
    <t>Sañudo, Francisco</t>
  </si>
  <si>
    <t>Francisco Sañudo</t>
  </si>
  <si>
    <t>…os sargentos pri* meros Josef María Pulido, Nicolás Velez , Josef Hilario Ramos', Miguel Hernández, Honorato Castro y Matías Surio , y los cabos Isidro Cabezas y Josef Avila. ,,El capitán D. Francisco Sañudo, comandante del punto de Papantía, deseoso de la pacificación de estos terrenos, y de cooperar en dios, me auxi* lio con 510 hombres armados al cargo del teniente Cowley, y lo participo á V. S. para su conocimiento. ,,Dios guarde á V. S. muchos años. Campo de…</t>
  </si>
  <si>
    <t>Sanz, Agustín</t>
  </si>
  <si>
    <t>Agustín Sanz</t>
  </si>
  <si>
    <t>…100. Núm. 26. Doña N. 20. Núme ro 27. D. D. B . 100. Núm. 28. D. Francisco Lledias 200. Núm. 29. D. Do mingo Ortiz de Urbina 200. Núm. 30. D. R. A. 20. Núm. 31. D. N. 80. Núm. 32. D. Agustín Sanz, maestro sastre, 60. Núm. 33. D. A. V. 100.Nú mero 34. D. Ventura Fernandez loo. Núm. 35. D. Manuel Centurión320. Núm. 36. D. M. H. 1500. Núm. 37. D. A. A. 20. Asimismo se han suscrito para el mismo caritativo objeto los señores si guientes: ! ; Número i.° D.…</t>
  </si>
  <si>
    <t>Sanz, Claudio</t>
  </si>
  <si>
    <t>Claudio Sanz</t>
  </si>
  <si>
    <t>…añana, en las puertas de la audiencia delSr.'D. 4ngel Fernandez de Jos Ríos , del Consejo deS. M_.,( teniente corregidor de esta muy heroica villa, por ante el escribano de número Don Claudio Sanz. Por la audiencia del Sr. D. Manuel Josef Rubio, del Consejo de S. M., tenien te de corregidor de esta muy heroica villa y escribanía del numero al cargo de Don Anselmo Ordoñez, se-subasta una casa á la malicia , sita en esta corte en la callé de la Palma alt…</t>
  </si>
  <si>
    <t>…ifa cio' y-D/Férmln Doz, á An de'que pfe/sónálmente o por medio de procurador'! con fcuficienté poefer , dentro deí térrhmode 30 días comparezcan ante dicho señor por el oficio de D. Claudio Sanz, escribano del numero, á decir y exponer lo que á su d ¿reícho convenga en el juicio promovido á instancia de los herederos de D. Manuel de ■Cartábarría., vecino que fue de esta corte, sobre perteiíencia de nueve vales Reales de á 600 pesos cada uno de i.° de…</t>
  </si>
  <si>
    <t>…iciente poder, dentro del término de g o dias precisos, contados desde 6 del corriente, y con denegación de otro, comparezca ante dicho señor juez por la escri banía del numero de D. Claudio Sanz á decir y exponer io que á su derecho conven ga en el juicio promovido á instancia de D. Andrés de Torres, vecino de esta corte, sobre pertenencia de dos vales Reales de á óoo pesos cada uno, creación de x.° d« Setiembre de 1808, señalados con los números 133…</t>
  </si>
  <si>
    <t>…exponerlo en debida forma ante el Sr. D. Angel Fernandez de los Ríos, del Consejo de S. M., primer teniente corregidor de esta muy heroica villa, y por la escribanía de número de D. Claudio Sanz, dentro del preciso término de 30 diasfc con apercibimiento de que pasados, sin mas citarles ni emplazarles se accederá á la declaración de heredera de la susodicha' que. solicita-Vicenta de Juan en concepto de sobrina. Curso completo elemental de matemáticas…</t>
  </si>
  <si>
    <t>Sánz, Claudio</t>
  </si>
  <si>
    <t>Claudio Sánz</t>
  </si>
  <si>
    <t>…:'..b/ Ante el Sr. D. AmgeJ. Fernandez cfta* I&lt;^s. Ríos *. ‘CÓfasfejb* ‘de ‘S. ííí.V'teniente primero de corregidor de esta muy heroica .villa , y por la escrihahíá de* número de D. Claudio Sánz, se ha puesto demanda á nbmbre de /I&gt;. Bartolomé López Pelaez, vecino déla Membrilla , en la provincia dé la Mancha,sóbréííqúje'áéi deélareá de su pertenencia'los vales Reales sigujenteá :;tmí©"elfe 6ba peáb^'déÉnérode-’ 18091 número 3/5,137, que salió en la…</t>
  </si>
  <si>
    <t>…11 de la.mañana, en ija audiencia del Sr. D. Angel Fernandez de lós Rioi', del Conséjo ;de‘S. Mí, teniente corregidor de esta muy- heroica villa, por ante el escribano del número.D. Claudio Sanz. - , ; Por procidencia de 11 del corriente del Sr. D. Francisco Xavier dfc Ojeda, dol Cón^jo» dé-S.' M. en-él supremo de Hacienda', juez asesor general de ip Real Casa y Patrimonio ^ refrendada de; D. Alfonso del; Pozo, escribano de S. y solí Reales caballeri…</t>
  </si>
  <si>
    <t>Sanz, Francisco</t>
  </si>
  <si>
    <t>Francisco Sanz</t>
  </si>
  <si>
    <t>…fundamento que debían tener alguna emboscada ó embosca das , por ser la clase de guerra que hace esta canalla, dispuse que el teniente graduado de capitán del regimiento de Zamora D. Francisco Sanz saliese á re conocer el campo con 100 infantes y 50 dragones. A poco tiempo de haberse separado de la villa esta tropa fue atacada fuertemente por dos emboscadas, que pasaban de 150 hombres cada una, al mando de los cabecillas Ortices; pero habiendo sido reci…</t>
  </si>
  <si>
    <t>Sanz, Hemeteria Celedonia</t>
  </si>
  <si>
    <t>Hemeteria Celedonia Sanz</t>
  </si>
  <si>
    <t>…d de providencia del Sr. D. Ramón Satúe, del Consejo de S. M., su al calde de Casa y Corte, se cita, llama y emplaza á Josef Rodríguez , hijo legítimo de D. Lorenzo Rodríguez y de Doña Hemeteria Celedonia Sanz,difuntos,que fueron ve cinos del Real sitio de Aranjuez, para que en el término de 30 dias, contados desde 6 del corriente, comparezcan en la audiencia de S. S. y por la escribanía de provincia, vacante, que sirvió últimamente D. Julián Alonso y Estrada, por…</t>
  </si>
  <si>
    <t>Sapena, Francisco</t>
  </si>
  <si>
    <t>Francisco Sapena</t>
  </si>
  <si>
    <t>…astillo de los Infantes,............... . 280 - ^ ' 52I)° , Por Real resolución de 28 de Enero último, á consulta del Consejó su premo de la Guerra, se ha servido S. M. conceder á D. Francisco Sapena, segundo ayudante de cirugía que fue en la última campaña, y en la actuali dad cirujano titular de Ja ciudad de Gandía, el fuero militar y uso de uni forme de la clase en que sirvió, que le corresponde como comprendido en la, circular de 19 de Junio de 1815;…</t>
  </si>
  <si>
    <t>Sara, Francisca</t>
  </si>
  <si>
    <t>Francisca Sara</t>
  </si>
  <si>
    <t>…las niñas cuando no lleven la labor de la casa de sus padres. La que quisiere ha cer pretensión deberá hacerlo en todo*el presente mes, pormedio' de memorial, que dirigirá al Lie. D. Francisca Sara vía Villota, patrono de la obra pia, y vecino de la villa de Villarcayo, expresándose la edad de la pretendienta, y los años de enseñan za que haya tenido,, caso de haber sido maestra, y especificando* las labores que se pa hacer. 1 Curso de humanidades a bel…</t>
  </si>
  <si>
    <t>Sarasa, Josef Miguel de</t>
  </si>
  <si>
    <t>Josef Miguel de Sarasa</t>
  </si>
  <si>
    <t>…ación que aparecen de dos estados remitidos á la pri mera secretaría de Esrado y del Despacho por dicho director, y egecutadas bajó la inmediata inspección del ayudante de caminos D. Josef Miguel de Sarasa y del celador t). Juan de Castro y Quiroga. j . Se ha reedificado el puente de S. Payo, construyendo de nuevo con pie dra de sillería tres arcos de siete varas de elevación y 13 de diámetro, 378 varas de pretil de un pie de grueso y cuatro de altura con su zó…</t>
  </si>
  <si>
    <t>Sáravia, Vicenté de Saura y</t>
  </si>
  <si>
    <t>Vicenté de Saura y Sáravia</t>
  </si>
  <si>
    <t>…del Excmo. Sr. súperihtéñdénte general de Pósitos del reino, úna.casa' yunhuerto en la villa de Orusco para pago dé cierta cantidad que quedó debiendo" ádá tesófería de dicho ramo D. Vicenté de Saura y Sáravia; y habiendo fallecido é¿te sé cita y emplaza á sus hijos D. Domingo, D. Juan y D. Joaquín, para que e»' el término de 20 días, contadas desde esta publicación, concurran al expresado juz gado por sí, ó por apoderado, á deducir la acción que les competa; pues…</t>
  </si>
  <si>
    <t>Sárávia, Vicente de Saura y</t>
  </si>
  <si>
    <t>Vicente de Saura y Sárávia</t>
  </si>
  <si>
    <t>…l Exorno. Sr. superintendente general de pó itos del reino una casa y un huerto en la villa de Orusco para pago de cierta cantidad ;¡uí quedó debiendo á la tesorería de dicho ramo D. Vicente de Saura y Sárávia ; y ha biendo fallecido este se citó y emplazó á sus hijos D. Domingo, D. Juan y D. Joa quín en la gaceta del 25 de Setiembre último, por cuya no comparec ncia se han ta sado la citada casa y huerto, aquella en cantidad de 23,500 rs., y este en la de 2700. Qu…</t>
  </si>
  <si>
    <t>Sarget, Francisco</t>
  </si>
  <si>
    <t>Francisco Sarget</t>
  </si>
  <si>
    <t>…Un Castillo en la de D. Paulino Gil; en Jaca en la de D. Josef Mora ; en Teruel en la de D. Antonio Herrero; en Zarago za en la del'Lie:’D» Mariano Herrando; en Alicante en la de D. Francisco Sarget; en-Cartagena en/la dcXDr. D. Juan Josef Franco;.en Orihuela en la, de D^Jósef Salón; en Tarragona; en ia-,dei . Dr. D. Juan Bautista Argués; • e,n Lérid 1 en 1a ide T¡&gt;:.'¡Antoíiip, Férrerí;. enjCervera. en la de D, .Josef Vicente. .Soler;en Gerona en la deí…</t>
  </si>
  <si>
    <t>Sarmiento, Antonio</t>
  </si>
  <si>
    <t>Antonio Sarmiento</t>
  </si>
  <si>
    <t>…y se adelantarán por él 16 rs. éri rustica, advirtiéndose que ya está en prensa. : Ricardo,y Sofía, ó los Yerros del Amor, novela inglesa, traducida al castellano por el teniente coronel D. Antonio Sarmiento: dos tomos en'12.0, adornados con una lámina al frontis, segunda de la colección que publica en Barcelona D. Maria no de Cabrerizo. Esta ingeniosa novela se halla traducida en casi todos los idiomas: de Europa; tanto ínteres ha sabido darle'su autor, el cual…</t>
  </si>
  <si>
    <t>Sarsfieid, Pedro</t>
  </si>
  <si>
    <t>Pedro Sarsfieid</t>
  </si>
  <si>
    <t>…aí, se ha servido concederle la gran cruz de'la Real y distinguida orden de Carlos ur; promoviendo por igual motivo á teniente general de sus Reales egércitos al mariscal de campo D. Pedro Sarsfieid. El Rey nuestro Señor se ha servido conceder su Real permiso á I&gt;. Ber nardo Josef de Roa, marques de Piedra blanca, caballero profeso de la or den de Santiago, condecorado con la flor de Lis, y con la dé la Reál distin ción: y fidelidad de Madrid, consultor…</t>
  </si>
  <si>
    <t>Sastruain, Francisco</t>
  </si>
  <si>
    <t>Francisco Sastruain</t>
  </si>
  <si>
    <t>…o del mismo D.' Mártin~LázafÓ Gilberto, y se* adinitíráh triemófiales hasta él 2'8 dél corriente, y se proveed en i.°:dé Noviembre próximo. &gt; . ^ ; &gt; Se desea saber el paradero de D. Francisco Sastruain, que se ausentó.de Madrid 2 fines del mes de Diciembre de 1808, por no querer jurar al gobierno intruso, sien do practicante en¡ él-[hospital* General : sé suplicáal qué^tetiga■ 'noticias.; de .él que se sirva avisarlo á Dv3^amon de Sanjurjo, que vive caile.d…</t>
  </si>
  <si>
    <t>Satué, Ramón</t>
  </si>
  <si>
    <t>Ramón Satué</t>
  </si>
  <si>
    <t>…9 del corriente, por la escribanía del número de D. Casimiro Antonio Gómez, que se le admitirá sien do arreglada. En virtud de providencia dictada en x 8 del corriente por el Sr; D. Ramón Satué, del Consejo de*S. M., su alcalde de Casa y Corte, por ia escribanía de provin cia vacante que sirvió últimamente D. Julián Alonso y Estrada, y hoy despacha Don Santiago Manuel de AIbóniga, á instancia dé D. Manuel de Pando, síndico eh el con curso de los bie…</t>
  </si>
  <si>
    <t>Satúe, Ramón</t>
  </si>
  <si>
    <t>Ramón Satúe</t>
  </si>
  <si>
    <t>…osada del Sr.'D. Manuel Josef Rubio, del Consejo de S. M,, teniente corregidor de esta muy heroica villa, ante el escribano de su número D. Juan Raya. En virtud de providencia del Sr. D. Ramón Satúe, del Consejo de S. M., su al calde de Casa y Corte, se cita, llama y emplaza á Josef Rodríguez , hijo legítimo de D. Lorenzo Rodríguez y de Doña Hemeteria Celedonia Sanz,difuntos,que fueron ve cinos del Real sitio de Aranjuez, para que en el término de 30 dia…</t>
  </si>
  <si>
    <t>Saupons, Francisco</t>
  </si>
  <si>
    <t>Francisco Saupons</t>
  </si>
  <si>
    <t>…una dos piezas de á 12. ; ESPAÑA. Barcelona 18 de Noviembre. En la junta que celebró la Real academia de ciencias naturales y artes de esta ciudad el dia io,,del corriente, el Dr. D. Francisco Saupons, director de matemáticas y mecánica en la misma, disertó sobre el nuevo método de clasi ficar los'movimientos mecánicos por órdenes, clases, géneros, variedades y -especiesal modo que lo hacen los botánicos con los vegetales. Después de ha ber tratado de lo q…</t>
  </si>
  <si>
    <t>Sauz, Claudio</t>
  </si>
  <si>
    <t>Claudio Sauz</t>
  </si>
  <si>
    <t>…una medianería 7400 rs. , 7 queda por consiguiente el precio en 4$i6i rs. Quien quisiere hacer postura á dichas fincas jiintas ó separadas, acuda, por; la escribanía-de número de D. Claudio Sauz dentro del término de 30 dias. Se desea saber el paradero de Antolin Pinilla, granadero del regimiento imperial del Sagrario, natural del lugar de Hontanar de los Montes, arzobispado de Toledo, que salió convaleciente de dicho pueblo el día 20 de diciembre de…</t>
  </si>
  <si>
    <t>Sauz, Marcelino</t>
  </si>
  <si>
    <t>Marcelino Sauz</t>
  </si>
  <si>
    <t>…uz ,• núm. 2 ;.el del Molar D. Tomas Bermudez calle de las Huertas, frente á la del Lobo; el de Solan defCabras.D..Joséf M enchero calle de la ( aíyá baje, rium. 25; el de Sacedon D. Marcelino Sauz en la misma villa; él de Alcantud D. Atanasio Herrainz en el pueblo de Cá^ ñaveras ;.el,de Alánge D. Josef Alegre Galan en 'Almendralejo; el de Ledesrna D.'Pablo Montesino en Valencia de Alcántara. 3.0 Que los enfermos que quieran consultar á los expresados,m…</t>
  </si>
  <si>
    <t>Savary</t>
  </si>
  <si>
    <t>…Gobierno de Suecia confia mucho en la mediación de varías Potencias, é insiste en interpretar el tratado de Kiel á fa vor de sus intereses. ■ GRAN BRETAÑA. Londres 8 de Junio. El general Savary, duque de Róvigo, ha llegado estos últimos dias de Smirna, de donde le hicieron salir á consecuencia de la .contestación que tuvo con Mr. Flotte, oficial de la marina francesa. No ha podido haber hasta ahora comunicación con el buque en que ha venido, porque…</t>
  </si>
  <si>
    <t>Saxonia, Mama Josefa Amalia de</t>
  </si>
  <si>
    <t>Mama Josefa Amalia de Saxonia</t>
  </si>
  <si>
    <t>ujS rido la mas ;hónro$a comisión í cual es* el felicitar á VVM. con el plausible motivo de su matrimonio con la Reina nuestra Señora Doña Mama Josefa Amalia de Saxonia. Esta'ciudad y sus representantes no cesarán de mgar al Todopoderoso derramé sobre este enlace sus copiosas bendiciones, conce diéndonos por él una dilatada dinastía, y que cuanto antes tengamos un Trini cipe heredero de la corona, que con tanta ansia la naci…</t>
  </si>
  <si>
    <t>Saxonia, María Amalia de</t>
  </si>
  <si>
    <t>María Amalia de Saxonia</t>
  </si>
  <si>
    <t>…ves tir'lisios y celebrar las honras con la misma pompa y aparato que de sus li bro1- de acuerdos resultaba haberse egecutado en las del Sr. Rey D. Carlos 3¡i y su augusta Esposa Doña María Amalia de Saxonia. Con efecto, tomadas las oportunas disposiciones, convidadas las comunidades religiosas, cofradías y persogas mas visibles del pueblo, tuvo el ayuntamiento.el triste consuelo .de-qiu se celebrasen en la iglesia de S. Pedro en los dias 14 y 15 de Enero,</t>
  </si>
  <si>
    <t>Saxonia, María Josefa Amalia de</t>
  </si>
  <si>
    <t>María Josefa Amalia de Saxonia</t>
  </si>
  <si>
    <t>…orregidor le arengó en los térmi nos siguientes: Señor : ,, Feliz aquella hora en que V. M. proyectó consolar á esta monarquía proporcionándola una tierna madre en la Serina. Sra. Doña María Josefa Amalia de Saxonia. Las bellas cualidades que adornan á nuestra amada Reina no han podido menos de ser el asunto de la alegría general del pueblo español, y la ciudad de Alcalá se promete una completa felicidad de este tan. venturoso enlace. Sus diputados, que tienen el encargo…</t>
  </si>
  <si>
    <t>…, y regidor en el banco de caballeros del ilustre ayuntamiento de la ciudad de Orihuela, en cuyo nombre tuvo la honra de felicitar á S. M. por su augusto enlace con la Serma. Sra. Doña María Josefa Amalia de Saxonia en los términos siguientes: Señor: ,,E1 M. N. I. y M. L. ayuntamiento de la ciudad de Orihuela, fiel á su deber en todas ocasiones, cumple hoy gustoso la deuda que le impone el amor que profesa á V. M., tributándole el mas sincero parabién por el enlace que a…</t>
  </si>
  <si>
    <t>…Valencia en la de Cabrerizo, y en Barcelona .en la de Piferrer. ? ^ Sonata armónica para guitarra sola del célebre maestro Molino á la feliz unió.» .de SS. MM. D. Fernando vi i y Doña María Josefa Amalia de Saxonia; y co lección selecta de obras de los mejores autores, también para guitarra sola, números i.°, 2.°.y 3.0 de los señores Sor y Roldan. Véndese en el establecimiento de la ca lle del Turco, y eir la librería de Ortega, calle de las Carretas. / EN LA IMPRENTA R…</t>
  </si>
  <si>
    <t>…ayuntamien to de la villa de Arjona, reino de Jaén, tuvieron el 26 del pasado ia honra de cumplimentar á S. M. y besar su Real mano por el feliz enlace con la Reina nuestra Señora Doña María Josefa Amalia de Saxonia, en los términos siguientes: Señor: ,, Comisionados para significará V. M. el júbilo de que-se halla poseído el ayuntamiento y vecindario de la villa de Arjona, en el reino de Jaén , por el feliz enlace de V. M. con el ilustre vastago de la excelsa casa de Sa…</t>
  </si>
  <si>
    <t>Saxonia, María Josefa Amalia Ííe</t>
  </si>
  <si>
    <t>María Josefa Amalia Ííe Saxonia</t>
  </si>
  <si>
    <t>…signe iglesia colegial de S. Patricio -de ia .ciudad-de JLorca yíene la honra de presentarse hoy á V.. M. para darle el parabién por. su augusto enlace con La Reina nuestra Señora Doña María Josefa Amalia Ííe Saxonia, cuyas virtudes publica la fama; y quiera el cielo contribu yan á la felicidad de V- M. y á ia prosperidad de la monarquía, como asi, el cabildo lo desea y espera,, y como ledos sus individuos lo ruegan incesan-, tementes” . . : . , El dia 2 5 del pasado tuvi…</t>
  </si>
  <si>
    <t>Saxonia, María Josefa de</t>
  </si>
  <si>
    <t>María Josefa de Saxonia</t>
  </si>
  <si>
    <t>…u.erte de haber sido la pri mera ciudad del reino que ha tenido la honra de rendir en su recinto los mas respetuosos homenages de fidelidad y obediencia á la Reina nuestra Se ñora Doña María Josefa de Saxonia , se postra con igual objeto á los Reales pies de V. M., le congratular por tan acertada elección , y pide al cie lo premie sus merecimientos. y virtudes .con los inmensos dones de piedad y misericordia prometidos á qdkn como V. M. le busca con humilde y sen…</t>
  </si>
  <si>
    <t>Saxonia, Marta Josefa Amalia de</t>
  </si>
  <si>
    <t>Marta Josefa Amalia de Saxonia</t>
  </si>
  <si>
    <t>…larán las que estan dadas, parándoles esto con cuanto se actúe y resuelva el mismo perjuicio que si fuese con su intervención y audiencia. Nuevo retrato de la Reina nuestra Señora Doña Marta Josefa Amalia de Saxonia, hecho con el mayor esmero, adornado con tres genios, uno en la parte su perior que sostiene un hermoso pabellón, y los otros dos en la parte inferior presen tando un gracioso colgante de flores: está aprobado por la Real academia de S. Fer nando. Se hallará…</t>
  </si>
  <si>
    <t>Saxonia-Teschen, Alberto de</t>
  </si>
  <si>
    <t>Alberto de Saxonia-Teschen</t>
  </si>
  <si>
    <t>…r numeroso y muy lucido, y el Emperador Alejandro fue con el uniforme de su regimiento austríaco. Recibieron á SS. MM. el Príncipe Imperial, los; Archiduques^ Cirios y Antonio, el duque Alberto de Saxonia-Teschen y el conde Gerónimo de ¿olloredo al frente de sus regimientos. La Emperatriz y la. Archiduques» Henriqueta estuvieron en birlocho. Al tiempo de desfilar las trppas tomó el Emperador Alejandro el mando de su regimiento, é hizo al Emperador de Austria los honor…</t>
  </si>
  <si>
    <t>Saxoniacaballero, Antonio de</t>
  </si>
  <si>
    <t>Antonio de Saxoniacaballero</t>
  </si>
  <si>
    <t>…eras de Saxonia. El Emperador ha enviado el Toison de Oro á su / yerno futuro por medio de Mr. Bombelles, ministro de S. M. I. en ÍDresde, «.que se hallaba aquí con licencia, y el duque Antonio de Saxoniacaballero</t>
  </si>
  <si>
    <t>SBbteñieiite, Antonio Mbuleoriy</t>
  </si>
  <si>
    <t>Antonio Mbuleoriy SBbteñieiite</t>
  </si>
  <si>
    <t>S! Felices de los (jaílégósTel del c&amp;stillo deFolien ¿á , en Mallorca, al fenienté D. Antonio Mbuleoriy SBbteñieiite del regimiento de infantería de Asturias; éí;,de Taíal*n,jen Gátaluña, al coronel D. Juan Antonio de Prat, capitán déí primer regimiento de Reales Guardias de infantería'; h tenencia de Rey dt Cartagena al coronel D, Rafael Pestío, capitán del regimiento de i…</t>
  </si>
  <si>
    <t>Sbltikow</t>
  </si>
  <si>
    <t>…l Eérmer! eníia gran, Polonia, marchó á Brandenburs y sé halló én «1 encuentro que tuvo aquel egército con los 3c® prusia nos mandados por ei general Dona, hasta que Ies obligó el mariscal Sbltikow (que mandaba ya. losrrusos) i: incorporarse en los egércitos que tenían en Silesia y en Brandenburg. ^L-iCohf noticia de la muerte de católica el ,&gt;Sr. D ¡Fernando vi- suspendió su comisión, y se retiró,. observando en su marcha la disciplina y buen:orden del…</t>
  </si>
  <si>
    <t>Schell, Francisco</t>
  </si>
  <si>
    <t>Francisco Schell</t>
  </si>
  <si>
    <t>…as puras medallas acuñadas á pro pósito á D. Santiago Cocolina, y al cadete de artillería D. Pedro OJano: en da de dibujo una .medalla de oro á D. Benito Campo , y otra de plata á Don Francisco Schell* opositores al modelo de yeso: otra medalla de oro á-Dcn</t>
  </si>
  <si>
    <t>Schuhmacker</t>
  </si>
  <si>
    <t>…rno dinamarqués ha mandado, bajo la peña de una multa consi derable, que los carruages y postas hagan lugar en los caminos á un carro en donde van los instrumentos matemáticos del profesor Schuhmacker para medir el meridiano. ' * ' ESPAÑA. México 28 de Febrero* El Exenta. Sr.yirey ha recibido el siguiente oficio del.gobernador tenien te coronel D. Josef Manuel Martínez. ,, Eterno. Sr.: Según lo que expuse y prometí á V. E. en mi oficio nú mero 33 del día d…</t>
  </si>
  <si>
    <t>Se, J. B.</t>
  </si>
  <si>
    <t>J. B. Se</t>
  </si>
  <si>
    <t>…as victorias conseguidas por las armas españolas desde el tiempo de los cartagineses hasta la famosá guerra de sucesión: un tomo en 4.0, traducido¡del francés ál español por eliG. D. J. B. Se hallará á 16 rs. en rústica y ío en pasta en la librería de Cas tillo ,Arente á las gradas de Si Felipe el Real, en el almacén de papel de Grimaud; frente á la imprenta Real, y en Cádiz en la librería-de Picardo. • • Nuevo epítome de gramática; latí na j 6 mé…</t>
  </si>
  <si>
    <t>Sebastian</t>
  </si>
  <si>
    <t>…s por línea materna de D. Josef Estensoro de la Peña y Cortázar, desde el comendador D. Juan de Baeza y Marcha, aposentador de la Emperatriz nuestra Señora, méritos y servicios de D. Sebastian de la Peña, en el Real y supremo Consejo de las Indias,: sacado en la ciudad de México á 31 de Diciembre de 1720 por el escribano Josef Benito de Arrióla. (Se continuara.)</t>
  </si>
  <si>
    <t>…valor nada común, y á toda prueba. Dios guarde á S. muchos años. Campamento de Caño Bravo y Diciembre 15 de 1818. = Anto nio Gómez. = Sr. comandante general de la quinta división D. Sebastian de la Calzada. = Es copia. = Morillo."</t>
  </si>
  <si>
    <t>…e de 1819. == Al marques de Mata Florida.” . El teniente general D. Pablo Morillo dice al Excmo. Sr. secretario interi no del Despacho de la Guerra lo que sigue: ,, Excmo. Sr.: El coronel D. Sebastian de la Calzada, comandante gene ral de la quinta división, con fecha de 15 de Diciembre próximo pasado des de el campamento de la laguna del Galápago entre Santo Domingo y Santa Catalina, me dice lo siguiente: ,, Excmo. Sr.: Tengo el honor de participar á ■y.…</t>
  </si>
  <si>
    <t>Seco, Pascual</t>
  </si>
  <si>
    <t>Pascual Seco</t>
  </si>
  <si>
    <t>…: tenedor del vale de 150 pesos de Enero de 1808, núm. 333514, cuyo paradero se ignora, para que eñ el término de 30 días Comparezca en su juzgado por la escriba nía del número de D. Pascual Seco, y por medio de procurador, con poder bastan te, á evacuar el traslado que lejba conferido de la demanda que en 15 del mes últi mo le ha puesto Doña María Angela de Olloqui, viuda de D. Manuel de Rotaeta, vecina de la villa de Bilbao, como heredera dé Doña Do…</t>
  </si>
  <si>
    <t>…videncia del Sr. D. Manuel Josef Rubio, del Consejo de S. M., oidor honorario de la Real chancillería de Valladolid, y teniente corregidor de esta muy heroica villa, refrendada de D. Pascual Seco, escribano Real y del número de ella, se han mandado sacar á pública subasta, por término de 30 dias, dos viñas sitas en término del lugar de Fuencarral , una donde dicen la Cuesta de Mataasnos, su cabida 440 cepas vivas y 60 marras, que hacen 30, tasada en 1…</t>
  </si>
  <si>
    <t>…el Josef Rubio, del [Consejo de S. M., oidor honorario de la Real chancillería de Valladolid, y tenient® de corregidor de $sta muy heroica villa, y por,la escribanía del numero de D. Pascual Seco , se han mandado sacar á pública subasta, por término de 30.dias, cuatro pedazos de tierra, sitos en término del lugar de Fuencarral, uno en Valdeyerro, de cbfos fanegas y inedia, que linda por mediodía con el ^.arroyo del propio nombre, tasado -en 1 150 rs,:…</t>
  </si>
  <si>
    <t>…Rubio, dél Consejo déS.-M., oidor ho? Horario de 1» Real chanciller!a' de Valladolid, y teniente corregidor de esta- muy he roica! villa-, jftescribáníá- del -número del cargo de D. Pascual Seco , se han mandado* sacar? ¿-pública* subasta por término de go días tres cuartas paites dei principal de uní efecto' sobre~sisá*.de. esta rnisma-vilía importantes 4894 rs. 4 y -dos: octavos de mrs. jp 343-9 rs, dos .octavos def mrs. ; réditos a ellas correspon…</t>
  </si>
  <si>
    <t>…del Sí; I&gt;. Manuel Joséf-Rubio •, del Consejo dé S. Mí , oi dor honorario de la Real chancillería de Valladoüd , y teniente de corregidor de esta muy heroica villa; refrendada de D. Pascual Seco , escribano deS M. y del nú mero de véllay'se ha señalado para el remate de cuatro pedazos de tierra, sitos en término del lugar de Fuéncarral de esta jurisdicción: uno en Valdeyero de dos fanegas y media, que linda por mediodía el arroyo del propio nombre, t…</t>
  </si>
  <si>
    <t>…ienes corresponda para su cumplimiento.” Por providencia del Sr. D. Manuel Josef Rubio , del Consejo de S. M., oidor honorario de la Keal chancillaría de Valladolid, refrendada de D. Pascual Seco, es cribano del número de lá misma, se ha señalado para el'remate de dos vinas s'tas eh ‘término del' lügar de Füencarral de esta jurisdicción, una donde dicen la cuesta dé Mata-asnos, su cabida 440 cepas vivas y 60 marras, que hacen 30, tasadas en 1410 ’rs,,…</t>
  </si>
  <si>
    <t>681</t>
  </si>
  <si>
    <t>…dencia del Sr. D.! Manuel Josef Rubio ,.del Consejo de S. M*; oidor honorario de la Real chancillería de Valiadolid, y teniente corregidor de esta muy heroica villa, refrendada de D. Pascual Seco ; escribano del número de la mis ma , se ha-, señalado para el remate de tres cuartas partes de principal de un efecto so bre sisas de ella importantes 4894 rs. 4 y clos octavos de mrs, y de 3439 rs. 7 y dos octavos de mrs* &gt; réditos á ellas correspondientes…</t>
  </si>
  <si>
    <t>Secó, Pascual</t>
  </si>
  <si>
    <t>Pascual Secó</t>
  </si>
  <si>
    <t>…o D. Ro que Blanquer, y del cuarto y último Doña Josefa Cáceres, para que dentro del tér mino de 30 dias acudan ante el juzgado de dicho señor y escribanía del número del cargo de D. Pascual Secó, por medio de procurador con poder bastante, á usar de sus acciones en los autos que ha prorñovido 'D. 'Oaspar de Víllarroya, corredor Real de cambios, y vecino de la ciudad de: Zaragoza,, sobre que se declaren de su perte nencia los nominados vales Reales, y…</t>
  </si>
  <si>
    <t>Secretario</t>
  </si>
  <si>
    <t>…cípulos , y señaló cuatro premios para los cttitro alumnos que más sobresalieron. ^ v ' • 1 ' f H- AXTICÜLO 1&gt;E OFICIO. áir-f' ;) í ! Circular del Ministerio de Guerra. o-.-1 - Al Sr. Secretario interino del despacho de Hacienda digo coa esta fecha lo que sigtíe: i1 ufi</t>
  </si>
  <si>
    <t>…dicho Sr. limo., ó de personas de su confianza i etí los puntos á que dicho Sr. aplique ios socorros. y [ c ARTICULO DE OFICIO. El teniente general D. Pablo Morillo dice al Excmo. Sr. Secretario interi no del Despacho dé la Guerra lo que sigue: ,, Excmo. Sr.: El brigadier D. Tomas de Cires, comandante general de la cuarta división, y gobernador de la provincia de Cumaná, con fecha de 23 de Noviembre dél año próximo pasado me dice lo siguiente: Hace t…</t>
  </si>
  <si>
    <t>…el fruto de sus sacrifi cios tengan la inversión mas escrupulosa en los objetos á que vienen destinados.’* ARTICULO DE OFICIO. El teniente general D. Pablo Morillo dice al Excmo. Sr. Secretario interi no del Despacho de la Guerra lo que sigue: ,,Excmo. Sr.: En 28 de Febrero ultimo tuve el honor de informar á V. E. desde las inmediaciones del Arnica el estado de las operaciones del egército de mi mando hasta aquella fecha, y las ventajas que habíamos…</t>
  </si>
  <si>
    <t>…penalidadesdefendiendo sus sagrados derechos en estos dómiDios guarde á V. E.'muchos años.* Cuartel general de Calabozo -i 2* de Mayó de 18,19. —Excmo. Sr.=Pablo Morillo. = Excmo. Sr. Secretario dé Es^adory del Despacho dé la Guerra;” ' .* r Parte que se cita en el oficio anterior. v . ’ ' i : y,-Excmo. Sr.: El coronel D. Josef Pereira, comandante »del segundo baM&gt; ¿tallón de la Union, perteneciente á la división de mi mando, me ha píeseo-i tadoCl pa…</t>
  </si>
  <si>
    <t>…r á la junta,por mano de V. &gt;E¿&gt; todas las , causas sobre que se haya, formado competencia*” "Circular'dél 'Ministerio de Hacienda'. Cor^. fecha 5. ;de Setiembre último me dijo el Sr. Secretario; del Despacho 'de Hacienda de Indias lo, siguiente;; Y., é,¡ , Y, ■ ; ' . „ Entecado de- la exposición que ha dirigido al ministerio del cargo de V. Ef. . D. Eduardo Guirondells Llobregat, vecino de Barcelona', proponiendo como'me jor recurso para facilitar l…</t>
  </si>
  <si>
    <t>Secretario-</t>
  </si>
  <si>
    <t>…estadas. ,,Lo que de Real orden comunico á V.E. para su noticia y demas efec tos convenientes. Dios guarde á V. E. muchps años. Palacio 14 de Enero de i8i9.=:Franciscd de Eguía. = Sr. Secretario- interino del Despacho .de Estado.”1 El Rey nuestro Señor se ha servido conceder su Real permiso al intenden te graduado de egército D Antonio González Salmón para poder usar la cruz de comendador de la orden imperial de Leopoldo con que S. M el Ehnperador de…</t>
  </si>
  <si>
    <t>Sedaño, Diego Guerrero y</t>
  </si>
  <si>
    <t>Diego Guerrero y Sedaño</t>
  </si>
  <si>
    <t>…Pedro, D.¡Juan Lacemba y Víale, Don Santiago Posadillo y Chavarri, D Rafael Sentistillano y Pescio, D. Luis Basols y Marañosa, D. Josef Pezuela y Heres, D. Juan Eiizaide y Royo, ,D. Diego Guerrero y Sedaño, D. Julián Velarde y Santillan, D. Josef Abev11a y Conde, D. Juan Teran y Caldera , D. Juan DFIerve y Paredes, Don Francisco Navas Garro de Ulloa, D. Antonio Solís y González, D. Julián Giraldo y Molina, D. Joaquín Muñoz y Larraiñzár ¿ D; Salvador Hidalgo y S…</t>
  </si>
  <si>
    <t>Sedaño, Pedro</t>
  </si>
  <si>
    <t>Pedro Sedaño</t>
  </si>
  <si>
    <t>…gorio ViiUvieja, cura de S. Josef de Madrid, por limosnas quede han dado dos feligreses suyos, 10c. Núm. 65 Miguel Fernandez, aguador de S. M., 20. Núm. 66. D. B. D. 300. Núm. 67. D. Pedro Sedaño 200. Núm. 68 D. Cayetano Bautista 25. Núm. 69. Don Santiago Antonio de Unza 80. Núm. 70. D. A. E. 70. Núm. 71. D. Domin go Riesco 60, Núm. 72. El Excmo. Sr. D. Joaquín Blake ico. Núm. 73. Don M. B. 60. Núm. 74, D. N. C. 320. Núm. 75. D. J. M. 60. Núm. 76. Don…</t>
  </si>
  <si>
    <t>Sedeño, Santos Martin</t>
  </si>
  <si>
    <t>Santos Martin Sedeño</t>
  </si>
  <si>
    <t>…l pasado tuvieron la honra de felicitar á SS. MM. por su augusto enlace á nombre de la Real iglesia colegial del Real sitio de S. Ildefonso el limo. Sr. arzobispo abad y los Sres. D. Santos Martin Sedeño, canónigo magistral, y D. Ramón Montero, canónigo lectora!; y el primero arengó á SS. MM. en los términos siguientes: " Señor: ,,Del enlace que V. M. acaba de contraer con la mas virtuosa de -las Reinas, el arzobispo abad y cabildo de vuestra Real iglesia de…</t>
  </si>
  <si>
    <t>Sedó, Gabriel</t>
  </si>
  <si>
    <t>Gabriel Sedó</t>
  </si>
  <si>
    <t>…Monzon al coronel D. Antonio Hernández del Pont, comandante de batallón del regimiento de infantería del Infante D. Carlos: el del castillo de Moqjuich , de la plaza de Gerona, al capitán D. Gabriel Sedó¿ teniente del regimiento de infantería de. Granada: el del castillo de Porto-Pe-* tro, en la isla de Mallorca, á D. Joaquín' López, alférez, del .regimiento de caballería de España: el del castillo de .$« Felices de los Gallegos aí capitán Don Ántonino López,…</t>
  </si>
  <si>
    <t>Segaría, Salvador Arnaldo y</t>
  </si>
  <si>
    <t>Salvador Arnaldo y Segaría</t>
  </si>
  <si>
    <t>…ampo de Qibraltar. A D. Antonio Becerril Hiño josa.. Segundo de la ciudad de Córdoba. A D. Angel Martínez del Pozo. : De Camprodons. A D. Estanislao Oloriz y Este!les. De Berga. A D. Salvador Arnaldo y Segaría. De Elda. A D. Melchor Cortés y Llagas.; , , ' . . ' En América.• El Rey nuestro Señor-se ha dignado nombrar para la pía* .z&amp; de oidor .de la-Real audiencia dé Charcas , vacante; por .promoción de Don Francisco Xavier Manzanos á regente de la de Quito, á D. N…</t>
  </si>
  <si>
    <t>Segovía, Josef Virues y</t>
  </si>
  <si>
    <t>Josef Virues y Segovía</t>
  </si>
  <si>
    <t>…R$y se ha servido promover á alféreces de fragata de su Real armada á los guardias-marinas siguientes en las dos fechas que se expresan ...... .Coa la de 6 de Febrero de este año: D. Josef Virues y Segovía, D. An tonio Barcaiztegui y Hoyos, D. Miguel Valencia y Donesteve, D. Antonio</t>
  </si>
  <si>
    <t>Segura, Manuel María</t>
  </si>
  <si>
    <t>Manuel María Segura</t>
  </si>
  <si>
    <t>…nez Salcedo y D. Sebastian Hurtado. ' Honores de secretarios del Rey* A Frey D. Josef de Gortari, sirviente de armas de la orden de S. Juan de Jerusalen, y secretario de ía misma; D. Manuel María Segura, escribano de cámara, y secretario del Real Acuerdo de la chancillería de,Granada; Don Luis Lujan y Monroy, subdelegado de pósitos del partido de Arenas-dé-San Pedro, y D. Nicolás María Arizmendi, comisario de Marina graduado. C Ó R'R E.G I D O R ES. De Guipú…</t>
  </si>
  <si>
    <t>Sempere, Miguel</t>
  </si>
  <si>
    <t>Miguel Sempere</t>
  </si>
  <si>
    <t>…ar. Por providencia del Sr. D. Angel Fernandez de los Ríos, del Consejo de S. M., primer teniente corregidor de esta muy heroica yilla, se cita, llama y emplaza á los herederos de D. Miguel Sempere, vecino que fue de esta corte, para que en el tér mino precisó y perentorio de 20 días, contados desde 15 del pasado, comparezcan ante dicho señor por la escribanía del numero de D. Bernardo Díaz de Antoñana, á usar del derecho que les asista en autos que en…</t>
  </si>
  <si>
    <t>Semprun, Francisco</t>
  </si>
  <si>
    <t>Francisco Semprun</t>
  </si>
  <si>
    <t>…e Fleuri, primero á D, Felipe Barto lomé de Ibárrola. Idem de Astete, primero á D. Vicente de Artiñano. Fá bulas de Samaniego, primero á D. Federico de Victoria. Dibujo, primero á D. Francisco Semprun. Idem segundo á D. Juan Ramón. Paternina. Idem ter cero á D. Pedro Bergé. Gramática castellana, primero á D. Josef Fernandez Molina. Idem segundo á D. Gregorio de Olaeta. Gramática francesa, prime ro á D. Miguel de Mazarredo. Idem segundo á D. Francisco Sempr…</t>
  </si>
  <si>
    <t>Señan, Bernardo</t>
  </si>
  <si>
    <t>Bernardo Señan</t>
  </si>
  <si>
    <t>…nietos, en cuyo legajo se hallan varios documentos de casas, las hijuelas y otros papeles interesantes. ' * 14. Otro legajo de papeles y documentos de Doña Isabel Señan, muger de D. Bernardo Señan, ae la partición y división de bienes que quedaron por fallecimiento de la Sra. Doña Isabel Catalina de Lambreches, marquesa de Bañimargue . , . :r 15. Un libro de cuentas de la fábrica de la parroquia de S. Ginesde,esta corte del año de 1783 . ■ ( '- 16. Pap…</t>
  </si>
  <si>
    <t>Señan, Isabel</t>
  </si>
  <si>
    <t>Isabel Señan</t>
  </si>
  <si>
    <t>…i su muger entre sus hijas y nietos, en cuyo legajo se hallan varios documentos de casas, las hijuelas y otros papeles interesantes. ' * 14. Otro legajo de papeles y documentos de Doña Isabel Señan, muger de D. Bernardo Señan, ae la partición y división de bienes que quedaron por fallecimiento de la Sra. Doña Isabel Catalina de Lambreches, marquesa de Bañimargue . , . :r 15. Un libro de cuentas de la fábrica de la parroquia de S. Ginesde,esta corte del…</t>
  </si>
  <si>
    <t>Seoane, Josef Arias y</t>
  </si>
  <si>
    <t>Josef Arias y Seoane</t>
  </si>
  <si>
    <t>…ndante del resguardó de rentas de Extremadura cotí resi dencia en Badajoz, ó sus herederos forzosos, podrán entrar eri correspondencia por el correo de Pontevedra, en Galicia, con D. Josef Arias y Seoane, abad de S. An drés de Anceo, quien tiene que comunicarles un asunto que les interesa. Memorias de agricultura y artes, que se publican de orden de la Real junta de gobierno del comercio de Cataluña. Cuadernos 3.0 y 4.0 del tomo 8.° Se venden coa los anterior…</t>
  </si>
  <si>
    <t>…mandante del resguardo de rentas de Extremadura cón resi dencia en Badajoz, ó sus herederos forzosos, podrán entrar éñ’correspondencia por él correo de Pontevedra, en Galicia peón D. Josef Arias y Seoane, abad de S. Andrés de Anceo, quien tiene que comunicarles un asunto que les interesa. - ; Baños de rio, caseros y de mar •. contiene este tratado un breve resúmen de las muchas clases de baños .que se practican en la medicina y aun fiiéta de ellá por mera div…</t>
  </si>
  <si>
    <t>Sepülveda, Julián</t>
  </si>
  <si>
    <t>Julián Sepülveda</t>
  </si>
  <si>
    <t>…taron dichos señores comisionados. , / ¡ :• , i'" . Por Real resolución de n de Febrero último,' a consulta del Supremo Con sejo, de la Guerra, se ha servido S. M. conceder al Dr. D. Julián Sepülveda, cirujano, del primer batallón del regimiento infantería del Infante Don Antonio, la licencia absoluta con uso de uniforme de primer ayudante de ci rugía y fuero militar, que ha solicitado por hallarse inútil para continuar en el servicio, respecto á que tien…</t>
  </si>
  <si>
    <t>Serrano, Joaquín</t>
  </si>
  <si>
    <t>Joaquín Serrano</t>
  </si>
  <si>
    <t>…tratadosobre la electricidad médica, y un aviso médico para el uso de las armadas, egércitos y demas gentes que pasan á la América, traducido del in.gles al castellano por el Dr. D. Joaquín Serrano, médico del Real CQlegio de esta corte: cuatro tomos en 8.° mayor. Se hallarán en la librería de Escamilla, calle de las Carretas, á 60 rs. en pasta» Discernimiento filosófico de ingenios para artes y ciencias: de esta materia trató ya en otro tiempo el céleb…</t>
  </si>
  <si>
    <t>Sesé, Josef Clavero y</t>
  </si>
  <si>
    <t>Josef Clavero y Sesé</t>
  </si>
  <si>
    <t>212 las Reales fábricas, y D. Josef Clavero y Sesé, asesor general de la Real jun ta de Agravios de esta provincia; acordando ai mismo tiempo que por espacío de nueve dias se tocasen las campanas en todos los conventos de religiosos y religiosas, y parroquias de dicha ciudad, publicándose el luto para los emp…</t>
  </si>
  <si>
    <t>Sevilla, Francisco</t>
  </si>
  <si>
    <t>Francisco Sevilla</t>
  </si>
  <si>
    <t>…8^ millones, fuera de cuya cantidad no se tendrá por legítimo gasto alguno. : - ESPAÑA. Zima.24 de Octubre. El Excmo. Sr. viréy ha recibido ei siguiente parte del alférez de navio D. Francisco Sevilla. ,,Eterno! S'r.: El 17 del corriente í las ocho de la mañana, halándome navegando con Viento al S. fresquito de la vuelta dé tierra con el Convoy dé mi cargó certa de las islas de Chincha, descubrieron nuestros topes dos bergantines'ái E. que luego que nos av…</t>
  </si>
  <si>
    <t>…éndole asimismo SM., y en iguales términos, él título de duque con la denominación de Almenara la Alta. En atención al distinguido mérito que han contraído los alféreces de na vio D. Francisco Sevilla y D. Antonio Gonzaléz Madroño; el piloto D. Juan Antonio Mayoy el primer guardián Ventura Romero, comandante segun_do, y destinados en,la fragata particular Resolución ¡armaáa en guerra -9 como igualmente su guarnición y tripulación, en el combate que sostuvo el 14 de Octubre de 1818 cont…</t>
  </si>
  <si>
    <t>Sevillano, Faustino Sánchez</t>
  </si>
  <si>
    <t>Faustino Sánchez Sevillano</t>
  </si>
  <si>
    <t>…146. D. E. M. 100. NútTK.147. D. L. T. 60. Núm. 148. D. B. C. 120. Núm. 149. Doña J. G. y D. T. A. 40. Num.-150. D. J. L. y Doña María C. L. 400. Núm. 151. D. A. C. 220. Núm. 152. D. Faustino Sánchez Sevillano 200. Núm. 153. D. N. 160. Núm. 154. D. F. F. C. 320 rs. y 24 mrs Núm. 155. El Excmo. Sr. Nuncio de S. S. 1®. Núm. 156. D. J. Y. A. 320. Núm* 157. D. J. L. T. 60. Núm. 158. Doña N. 6. Núm. 159. Doña F. V* 100. Núm. ióq. D. A. R. Z. 100. Núm. 161. D. J. A. A. 1…</t>
  </si>
  <si>
    <t>Sfockoe</t>
  </si>
  <si>
    <t>…rte por que se presente á la mayor brevedad que permitan la circunspección y; madurez que exige un asunta de tamaña importancia. Idem g&gt;. ' Han examinado los ministros de S. M. aí doctor Sfockoe , que vino des pedido de Ja isla de Sta. Elena; y 110 habiendo hallado cosa reprensible en su éónducta, se volverá inmediatamente á ocupar otra vez su plaza.. 1 ' Ayer tardé desembarcó en Douvres el marques de Latour Maubourg, nuevo embajador de Francia cerca…</t>
  </si>
  <si>
    <t>Sidínouth</t>
  </si>
  <si>
    <t>…nemigo. Los labradores se hallan en una situación deplorable á consecuencia 4e haberles robado los cafres todos sus ganados.*' Idem /$. Anoche se fijaron á la puerta de la casa de lord Sidínouth, y en otros mu chos parages de esta capital, carteles que decían: A tas armas i venguémo nos de los asesinos de Manchester, Otro cartel convocaba á una junta que se ha de celebrar en el pueblo de Kennígton; y se cree que efectivamente el Junes ha de haber una…</t>
  </si>
  <si>
    <t>Sidmonth</t>
  </si>
  <si>
    <t>…ntaban los ministros. El tesorero presentó un estado de las limosnas del año, que ascendían á mas de 802 guineas. • Idem 2(f. •» La Cámara de los Lores nombró ayer á propuesta del lord Sidmonth , y con aprobación del partido de la oposición, una comisión? para examinar los diversos informes que se han hecho sobre el estado de las prisiones y casas de corrección, lacual se reunirá mañana. ; Lord.; Sidmouth inculcó» lanecesidad de hacer una mejora en…</t>
  </si>
  <si>
    <t>Sidmouth</t>
  </si>
  <si>
    <t>…jeros un consejo de Gabinete, cqnvocado por el vizconde Castlereagh, al cual asistieron el lor;d canciller, los condes ae Harrowby, Westmorland, Liverpool, Batharst y Mulgrave, el vizconde Sidmouth, y los señores Vansittart, .Canning y Robinson. Duró el consejo desde las 2 hasta- las 4 de la tarde. Según resulta del último número de los Anales de bellas artes hay ac-</t>
  </si>
  <si>
    <t>…n t i ,los: desta camentos de caballería ligera de voluntarios para que esten formados en su cuartel general á las dos de la: fardé. - ¡ El doctor Watíoh ha dirigido una .carta al lord Sidmouth, preguntándole •en ella si es la intención ’ de los .ministros de S. M. interrumpir la pacifica ■reunión del pueblo en la- junta que debe verificarse el miércoles próximo, y sidejarán aL pueblo . retirarse pacíficamente, sin que sea acometido: por la •fuerza…</t>
  </si>
  <si>
    <t>999</t>
  </si>
  <si>
    <t>…ley sobre los tumultos para dispersar la junta á sablazos, sino para prender á los que no quisieran retirarse. Con respecto á los oficios de apro-^ Dación que remitió a Manchester lord Sidmouth en nombre del Príncipe Re gente se explica en estos términos: ,, Afirmo pues, fundándome en el misma informe de los magistrados, que toda su conducta ha sido ilegal y cruel. (Re petidos aplausos.) Asi Como hago la debida distinción entre el bizarro militar in…</t>
  </si>
  <si>
    <t>Sienes, Ildefonso de</t>
  </si>
  <si>
    <t>Ildefonso de Sienes</t>
  </si>
  <si>
    <t>…s concurrentes á la escuela de 8° á 100. Se admiten memoriales ... hasta el 1.° de Agosto, pasado el cual se procederá á su provisión, y los que podrán dirigir las pretendientas á D. Ildefonso de Sienes, secretario del ayuntamiento en ía propia villa. Doña Vicenta Mendizabal y Cedrón, viuda de D. Josef Fórnier, capitán de ca ballería, y últimamente comandante del resguardó de rentas de Extremadura cotí resi dencia en Badajoz, ó sus herederos forzosos, podrán…</t>
  </si>
  <si>
    <t>Sierra, Juan de</t>
  </si>
  <si>
    <t>Juan de Sierra</t>
  </si>
  <si>
    <t>S22 35 Ofro 'legajo' de cuentas de D. Juan de Sierra, administrador dé los «censos perpetuos al quitar del mayorazgo de -Barrioauevo .y Peralta , dadas en los ónos de 4630 y siguientes. Legajo cuarto. t.° Real cgecntofla de la Real chanciHería de 'Valladolid,-ganada por la *villa de S. .Román en el año pasado d…</t>
  </si>
  <si>
    <t>Sierra, María Teresa de Ovando y</t>
  </si>
  <si>
    <t>María Teresa de Ovando y Sierra</t>
  </si>
  <si>
    <t>…, guarda mayor de Damas de S. M., con D, Melchor de la Guardia y de más hermanos herederos abintestato de D. Jaime de la Guardia, sobre que la de vuelvan la dote que llevó su hija Doña María Teresa de Ovando y Sierra al matri monio que contrajo con el D*. Jaime; en cuyos autos se ha servido mandar dicho su premo tribunal en providencia de. 14 de este nías, sé cité , llame y emplace á Don Augusto Beaulaincours, conde de Marles, para que en el término de 60 dias, con tados…</t>
  </si>
  <si>
    <t>Siestrzen</t>
  </si>
  <si>
    <t>…as nuevamente publicadas , y entre-ellas las'si guientes: la sexta parte de las Memorias de la academia rusa, y las In vestigaciones sobre el origen de Va nación rusa por el limo. Sr. Siestrzen— cewicz, metropolitano de las iglesias católicas de Rusia. NORUEGA. Cristiania 1de Enero. La gaceta oficial de esta corté publica el artículo siguiente: ,,En estas inmediaciones se ha presentado últimamente el curioso espectácu* 3ó de un rebaño de 200 rengífe…</t>
  </si>
  <si>
    <t>Siewcking</t>
  </si>
  <si>
    <t>…determinación que da mucho que hablar á los políticos, y es la de enviar representantes diplomáticos á las cor tes de Berlín, Petersburgo y Viena. Para la de Berlín ha nombrado al doctor Siewcking, y para la última á Mr. Vicente Rumpf, secretario de legación en Francfort: el que no está aun elegido es el que ha de residir en Londres, que seguramente debe considerarse como el puesto de mayor importancia, porque Ja Inglaterra es la que mas decididamente…</t>
  </si>
  <si>
    <t>Siichet</t>
  </si>
  <si>
    <t>…ha mandado el Gobierno de Baviera suspender las obras de fortificación que se estaban haciendo en DosFuentes y JLandau. ■ , Idem 12. ............. Se asegura que está nombrado el mariscal Siichet para reemplazar al.marrques de Riviere en la embajada de Constantinoplá.</t>
  </si>
  <si>
    <t>Silves, Antonio</t>
  </si>
  <si>
    <t>Antonio Silves</t>
  </si>
  <si>
    <t>…asesor general dé la ¿leal casa y patrimonio &gt; refrendada de D. Alfonso del Pozo , escribano de S. M. y sus Reales caballerizas , se ha convocado á junta á todos los acreedores de D. Antonio Silves tre de lparraguirre, guarda mayor que fue del Real sitio del Pardo, el sábado 23 del corriente, á las nueve de su mañana, en la audiencia de S. S., y mandado se cite á los que se hallasen en está'corfe , y que se anuncie al público por medio de gaceta y diari…</t>
  </si>
  <si>
    <t>Simón, Isabel</t>
  </si>
  <si>
    <t>Isabel Simón</t>
  </si>
  <si>
    <t>…rs. Núme ro 169. D. M. P. 20. Núm. 170. D. J. H. 120. Núm. 171. Doña M. B. iock N úm. 172. D. N. 20. Núm. 173. D. Cristóbal Sorribas 4a. Núm. 174. Doña Eusebia de N. 20. Núm. 175. Doña Isabel Simón 40. Núm. 176. D. Juan Villena 40. Núm. 177. D. S. R. 300. Núm. 178. D. F. R. 30. Núm. 179. D. B. Y. 40. Núm. 180. D. P. F. 60. Núm. 181. Doña MaríaVindel, viu da, 20. Núm. 182. D. Miguel Carrera 20. Núm. 183. D. N., feligrés de San Andrés, 100. Núm. 184. D. N…</t>
  </si>
  <si>
    <t>Simón, Marques de S.</t>
  </si>
  <si>
    <t>Marques de S. Simón</t>
  </si>
  <si>
    <t>…servicio; y que se publique en la gaceta para satisfacción del interesado. A los 75 años de edad, 9 meses y 17 dias falleció en 2 del próximo pasado Enero en esta corte el Excmo. Sr. Marques de S. Simón , conde de Rasse , grande de España de primera clase , gran cruz de la Real y distin guida orden española de Carlos ni , comendador y gran cruz de la órdm Real y militar de S. Luis, de la de S. Hermenegildo, capitán general de los Reales ejércitos, del Consej…</t>
  </si>
  <si>
    <t>SimónE, Francisco Sastre y</t>
  </si>
  <si>
    <t>Francisco Sastre y SimónE</t>
  </si>
  <si>
    <t>…,634; y /541; especial y señaladamente á todos los comprendidos en sus últimos^ endosos, que son ¿.Lorenzo Claro9, tesorero principal de rentan Reales de Cataluña; D. Bruno Vidaí; D. Francisco Sastre y SimónE). Ramón. Caílá; t&gt;. F. K Vignér; y asimismo al tenedor de otro vale ReaVde óoo pesos de igual creación , núm. 10,142 , para qué cQñcprran á exponer y alegar de su derecho en el expediente de reclamación que se ha formado en dicho juzgado y escribanía de provi…</t>
  </si>
  <si>
    <t>Simouth</t>
  </si>
  <si>
    <t>…r. Otra vez anuncia hoy el Times mudanzas en el ministerio, suponiendo que el conde Harrowby va de embajador á Parts, y que en la plaza de pre sidente del Consejo le ha de suceder lord Simouth, el cual será substituido por Mr. Roberto Peel en el ministerio del Interior; pero no sabemos qué funda mento tienen estas voces. Escriben de Manchester con fecha del 11 que habiéndose' visto los fabri cantes en la precisión de rebajar los jornales á los ofic…</t>
  </si>
  <si>
    <t>Siñeriz, Escolástica</t>
  </si>
  <si>
    <t>Escolástica Siñeriz</t>
  </si>
  <si>
    <t>…y colocar el bordado en la sala de dibujo: rúo rs. á Do ña Felipa Neri Pía, de la villa de Gijon, por otro bordado con diversas cia ses de ¿áracteres y adornos de bastante gusto. Doña Escolástica Siñeriz, naitural dé. la parroquia de Búduno, presentó, á nombre de sus tíos el capitán del puerto de Manila, en Filipinas, y Doña María Ana Fernandez Blanco, ¿su mug£X, un vestido blanco; bordado por una hija de estos de edad de 10 &lt;años , que dice bastante bien el…</t>
  </si>
  <si>
    <t>Sistemes, Joaquín</t>
  </si>
  <si>
    <t>Joaquín Sistemes</t>
  </si>
  <si>
    <t>…dez: Campománes y D. Ignacio. Martinez.de Villeía, ministros del Con sejo Real ,, plazas en el de la Cámara Asimismo se ha dignado nombrar S. M. para una plaza del Consejo Real a. D. Joaquín Sistemes, ministro que era det Supremo de la Guerra: para la regencia de la. audiencia de Canarias á D*. Juan. Nicolás Undabeitia, oidor de lá chanciHería de-Valladolidpara dos plazas de oidor dé ia audiencia de Ga licia á D. Josef Manuel Rodríguez Valderábano, alcald…</t>
  </si>
  <si>
    <t>Sixto</t>
  </si>
  <si>
    <t>…171 Pedraza................. 1068 ahítes wwon te. •••••., • 292 (Se continuara.) r D. Benito Perez, profesor de música y vecino de la ciudad de Cádiz, di rigió á nombre dé su hijo D. Sixto, por medio de la Real sociedad éconómi-^ ca de amigos deí país de dicha ciudad, á la de esta corte una exposición pa ra que si este cuerpo patriótico la encontraba digna, se sirviese elevarla con su apoyo á S. M.; y habiéndolo hecho asi en su informe de 27 de…</t>
  </si>
  <si>
    <t>Sixto, Cayetano</t>
  </si>
  <si>
    <t>Cayetano Sixto</t>
  </si>
  <si>
    <t>…ndienta, y los años de enseñan za que haya tenido,, caso de haber sido maestra, y especificando* las labores que se pa hacer. 1 Curso de humanidades a bellas letras, dispuesta por D. Cayetano Sixto, presbí tero : un tomo en 8.° marquilla, impresa en 1798. Véndese á 10 rs. en papel en el almacén de la imprenta KeaL EN LA IMPRENTA REAL.</t>
  </si>
  <si>
    <t>SkioídebrandK</t>
  </si>
  <si>
    <t>…de cuatro individuos , que son el ministro-de la Justicia conde Gillembórg; el mariscal del reino conde Fleming; el canciller de la corte'conde Netterstedt, y el teniente general conde SkioídebrandK , ............" ' 1 ■' ■ ■ PRUSIA. ' \ - Breslau 4 de Setiembre, Ayer á las 8 de la noche liego aquí el Rey con S. A. R. el Príncipe Car los. En las cercanías de esta ciudad -habrá grandes revistas militares, y se cree qúe' el viágé -de'&amp;•M,ha sido motivado p…</t>
  </si>
  <si>
    <t>Skoeldebrand</t>
  </si>
  <si>
    <t>…Puerta en lugar de Sir Rooerto Listón, y en su consecuencia saldrá inmediatamente de aquí para Londres. El 12 de este mes saldrá para Üpsal el Príncipe Real, y le acompaña rán el conde Skoeldebrand, consejero de Estado; el condeGosse, mariscal de la corte; Mr. Achem, gentilhombre de cámara; Mr. Lemoine, maestro que fue del Príncipe; Mr. Zannstroem, consejero de la Cancillería, y otros varios sugetos. El Príncipe permanecerá en Upsal mucho tiempo, y se p…</t>
  </si>
  <si>
    <t>So, Elvira de</t>
  </si>
  <si>
    <t>Elvira de So</t>
  </si>
  <si>
    <t>…narda de Vergara su muger, en la calle dé S. Juan, ante et escribano del número Be— dro de Olías en i.°: de Junio de 16j - * 26. Escritura dé traspasación1 dé censo , otorgada por Doña Elvira de So ria, muger de Francisco Hernández , vecino de la ciudad de Ciudad-Rodrigo, por sí, como madre, tutora y curadora de sus bijas* menores y D. AntonioFernandez de Velascq, sobre .los bienes ry, hacienda* que í».: pertenecían á di cha Doña Elvira, y recibió sobre…</t>
  </si>
  <si>
    <t>Sodupe, Valentín</t>
  </si>
  <si>
    <t>Valentín Sodupe</t>
  </si>
  <si>
    <t>…Yecóra , Labraza y arrabal de Barrio-busto,.en la provincia de Alava, cuya dotación es 600 ducados anuales cobra dos en tercios. Los pretendientes pueden dirigir sus instancias á D. Valentín Sodupe, comisionado y vecino de esta villa; en la inteligencia de que para el 30 de este mes se ha de proveer dicha plaza. , _ .s¿. ' Diccionario de fiebres esenciales, compuesto v traducido del artículo de fiebres y otros varios contenidos en él grande de ciencias…</t>
  </si>
  <si>
    <t>Sojo, Agustín</t>
  </si>
  <si>
    <t>Agustín Sojo</t>
  </si>
  <si>
    <t>…dor de Canarias. A D.-Josef Antonio Morales , alcalde mayor de la Laguna , capital dé Tenerife. • Secretarios del R’sir con egereicio de decretos. - A D. Josef Cecilio de la Rosa; D. Agustín Sojo; D. Manuel Riega, y Don Josef Cabeza de Mora , oficiales de la secretaría de Estado y del Despacho dé Gracia y Juncia de España; D. Antonio Martínez Salcedo y D. Sebastian Hurtado. ' Honores de secretarios del Rey* A Frey D. Josef de Gortari, sirviente de arm…</t>
  </si>
  <si>
    <t>Sola, Mateo Gil de</t>
  </si>
  <si>
    <t>Mateo Gil de Sola</t>
  </si>
  <si>
    <t>…Abril de 181 r por D. Ramón de Angulo á Doña Manuela Olavarria; el segundo por Q. Manuel López Maestre en Madrid á 27 de Mayo de 1814 á D. Alejandro Josef Amirola; el tercero por D. Mateo Gil de Sola en ídem á i.° de Abril de 1814 a D. Andrés Fernandez; el cuarto.por el mismo Sola en 20 de Ma yo del propio año á D. Ignacio Suarez; el quinto ídem ídem ; el sexto ídem Idem, y el séptimo porD. Pedro-Sebastian Perez en Sevilla á 25 de Abril de 1814 a Doña Jo…</t>
  </si>
  <si>
    <t>Sola, Mateo- Gil de</t>
  </si>
  <si>
    <t>Mateo- Gil de Sola</t>
  </si>
  <si>
    <t>…e 18 r i por D. Ramón de Angulo á Doña Manuela Olabarria'. El rsegundoipór.Di Manuel Loper Maestre, en Madrid 27 de Mayo de 1814, 4 D. Ale jandro Josef de Amírola. Ei tercero. por D. Mateo- Gil de Sola, en Madrid r.° de Abrirde 1814., 4 D-Andrés Fernandez. El cuarto por el .mismo Sola-, en 20 deMa-* JO' del propio año , á D. Ignacio Sua-:e¿. El quinto id. id. El sexto id. id. Y el s¿g-&gt; timo-por I&gt;. Pedro Sebastian.Perer, en-Sevilla 25 de Abril de 1814,-4 D…</t>
  </si>
  <si>
    <t>Sola, Miguel</t>
  </si>
  <si>
    <t>Miguel Sola</t>
  </si>
  <si>
    <t>…ría, muerto de la herida que recibió en la acción derguerra dé Cumanacoa , habida el 7 deEnero'del.año de 18 , igual pensión. A Doña Antonia Muñoz, emigrada de Guayana, y viuda de D. Miguel Sola, muerto en la acción naval tenida cerca de la isla ciePagayos, en el rio Orinoco, contra los irisurgentes el 13 de Julio del año de 1817, la. misma pensión. A Cor nelia Carrasquel, vecina de la ciudad de Valencia, y viuda de D; mingo Qonr zalez, sargento segu…</t>
  </si>
  <si>
    <t>Sola, Serafín</t>
  </si>
  <si>
    <t>Serafín Sola</t>
  </si>
  <si>
    <t>…era secretaría de Estado, y def Despacho él siguiente, aviso, que puede ser de grande importancia para la salud publica, y que ha extendido en benefi cio de la humanidad el médico D. Serafín Sola , residente en el expresado rei no de Marruecos. ,, Aunque el conocimiento que se tiene deí aceite y; y a como medicamento y ya como preservativo de la peste, ni sea nuevo ni ignorado de los médicos y curiosos, como tan útil descubrimiento no haya cundido'con…</t>
  </si>
  <si>
    <t>Solana, Antonio</t>
  </si>
  <si>
    <t>Antonio Solana</t>
  </si>
  <si>
    <t>…D Manuel Centurión , y D. Melchor Montoya; los 12 gentileshombres ae boca y casa D. Benito Pra do, el barón de Casa-Davalillos, D. Josef Navarro del Dosal, D. Antonio deOñativia, D. Antonio Solana, D. Manuel.de Almarza, D. Tomas Norza-f garay, D. Josef Pascual Oto , D. * Josef Sesé, D Josef Diez, D. Simón Ma teo Perez y D. Donato Arranz; los ocho individuos ya nombrados del Real cuerpo de monteros de Cámara ; doce caballeros pages de S. M., acompaña do…</t>
  </si>
  <si>
    <t>Solana, Manuel Antonio</t>
  </si>
  <si>
    <t>Manuel Antonio Solana</t>
  </si>
  <si>
    <t>…l nu mero D. Jacinto Gaonay Loeches, se ha señalado el domingo,19 de Diciembre pró ximo en su posada, y á la hora de las nueve de su mañana, para la junta general de acreedores de D. Manuel Antonio Solana, vecino de esta corte. En virtud de providencia de los señores del supremo Consejo de Castilla, en sálá de Provincia, su fecha 20 del corriente mes, se ha mandado publicar por otros tres dias mas la casa sita en la villa de Aravaca, contigua al hospital de la…</t>
  </si>
  <si>
    <t>Solares, Bernardo de Riega y</t>
  </si>
  <si>
    <t>Bernardo de Riega y Solares</t>
  </si>
  <si>
    <t>…e haya lugar; previniendo se ha señalado para iajunta de acreedores, que debe celebrarse el dia 22 del próximo mes de Noviembre á las nueve de su mañana. Por providencia del limo. Sr. D. Bernardo de Riega y Solares, del Consejo y Cá mara de S. M. en el supremo de Castilla, asesor del Real sitio del Buen Retiro, por el presente se cita, llama y emplaza á los parientes que deben heredar del difunto Josef Antonio Pablos, portero que fue de los jardines del dicho Real sitio…</t>
  </si>
  <si>
    <t>Solé, Josef Segura y</t>
  </si>
  <si>
    <t>Josef Segura y Solé</t>
  </si>
  <si>
    <t>…ndo los facultativos en libertad para adquirir otras utilidades , que pro bablemente ,-serán bastante cuantiosas. Las solicitudes se dirigirán, hasta el 8 de Se tiembre próximo, á D. Josef Segura y Solé, vecino de dicha villa, por quien, y por L&gt;. Tomas Mateos,que vive en esta corte, calle dei Viento, junto á la plazuela dé la Cebada , humero-10, cuarto principal, podrán enterarse los pretendientes nías por menor de las condiciones y circunstancias que se re…</t>
  </si>
  <si>
    <t>Solís, Ramón Valdés</t>
  </si>
  <si>
    <t>Ramón Valdés Solís</t>
  </si>
  <si>
    <t>…or su augusto enlace, en nombre de la sociedad patriótica del principado de Asturias, el Excmo. é limo. Sr. marques de la Concordia, capitán general de los Reales egércitos , y el coronel D. Ramón Valdés Solís, mayordomo de semana de S. M.; expresándose el primero en los términos siguientes: j,Señor:La sociedad patriótica de Asturias, representada por el director y el secretario de su comisión permanente en esta corte, tiene el honor de felici tar á V. M. por su di…</t>
  </si>
  <si>
    <t>Solito, Antonio</t>
  </si>
  <si>
    <t>Antonio Solito</t>
  </si>
  <si>
    <t>…renzo Ximenez 60. Núm. 527. Doña D. L. V* 20. Núm. 5 28. Los seño-i res cuestores del cuartel del Barquillo, por resto de la demanda en éí, 82^ Núm. 5 2¡9¿ D. J. T. 120. Núm. 530. D. Antonio Solito 80 rs. y 4 mrs. Nú mero IX M» G. F. 60. Por el correo de 16 de Noviembre se libraron al limo. Sr. obispo de Cá diz, con anuencia de S. M., 25© rs. vn. para que S. I. los distribuya en los pueblos contagiados en los mismos términos que se le han indicado en la…</t>
  </si>
  <si>
    <t>Somocurcio</t>
  </si>
  <si>
    <t>…s ya le considero informado por el parte del mismo: por ésto irte vi precisados pasar el dia i i en la Misión. El 22 dividí mi fuerza, y con una parte de ella, haciendo marchar al coronel Somocurcio en persecución de Uriundo , me dirigí con la otra hasta encontrar al coronel Gamarra, que se hallaba én . el fuerte deS. Luis : el 13 ordené á este ¿efe regresase á la plaza,* y yo volví á la Misión. El 14 pasé á Chiquiaca, en donde encontré á'Sómo^ curdo, el…</t>
  </si>
  <si>
    <t>Somorostro, Andrés Gómez</t>
  </si>
  <si>
    <t>Andrés Gómez Somorostro</t>
  </si>
  <si>
    <t>…e de 1818 ; un tomo en 8.° Véndese en el despacho de la imprenta Real; Breve oración inaugural que pronunció en la sala consistorial de Segovia el canó nigo de su iglesia catedral D. Andrés Gómez Somorostro, socio de número de la Real económica de aquella provincia, y como tal individuo de la junta que gobierna la escuela práctica de dibujo en dicha ciudad , con motivo del restablecimiento de esta enseñanza el dia 1,° de Octubre próximo pasado. Las notas con que…</t>
  </si>
  <si>
    <t>Somoza, Francisco Vázquez</t>
  </si>
  <si>
    <t>Francisco Vázquez Somoza</t>
  </si>
  <si>
    <t>…Antonio Sabatini y de Doña Josefa Teresa de Zubiaur, vecinos de esta corte, que al tiempo de la invasión de los franceses en 1808 estaba como huérfana de padre y madre ai cargo de D. Francisco Vázquez Somoza , del Real cuerpo de guar dias de Corps en la compañía Española, desdé cuya época no se sabe adonde para. Quien supiese de s,u destino ó suerte dará noticia al P. Fr. Bernardo de Zubiaur, prior mayor del Real monasterio de S. Martin de esta corte, que tiene q…</t>
  </si>
  <si>
    <t>Sonlag</t>
  </si>
  <si>
    <t>…ta de dos partes: la primeva contiene las obli gaciones de los oficiales subalternos, sargentos y cabos de ambas armas en el servicio avanzado de campaña, que publicó en ingles el general Sonlag al servicio de S. M, B.: y la segundada defensa de l&amp;s puestos avanzados ó instrucciones para oficiales de es tado mayor y gefes de línea, que se publicó en francés con el lema fas est ab hoste' dgetri: un tonudo en.8.° Se hallará en la librería de Sancha, ca…</t>
  </si>
  <si>
    <t>Sople</t>
  </si>
  <si>
    <t>…en casa del Rey déYbmboucfpn, el1 cual le détiené' éii razón de sus muchos conocimientos dé iiiéífíeíhli. El Rey .acaba de expedir un decreto, permitiendo'que vuelvan á Francia el mariscal Sople, el,teniente general1 cónde Piré, él Conde Real, Pommereui.l y Dirat , qpe estaban désterradós en virtud de los decretos de 24 de Julio dé 1815 y 17 de Enero de 18,16 ; y asimismo rlo5 Srés. Fouclier d’Aubigny, Eschasseria,u Thaband y (LemaiÍland, ex-cónyenci…</t>
  </si>
  <si>
    <t>Sor, Fernando</t>
  </si>
  <si>
    <t>Fernando Sor</t>
  </si>
  <si>
    <t>…osa como en verso, dei P. Isla*. 2 tomos en 8.°, á 18 rs. en pastái , Colección selecta de obras' de los mejores autores i para guitarra sola: numero •Contiene una sonata nueva de D. Fernando Sor, titulada la Siciliana, y dos minue tes con un wals del mismo. Se hallará á 6 rs. en el establecimiento de música y graba do de la calle del Turco , en la librería de Ortega, calle de laskCarretas, en el almacén de música de Mintegui, frente de la Soledad, y…</t>
  </si>
  <si>
    <t>Soret, Víctor</t>
  </si>
  <si>
    <t>Víctor Soret</t>
  </si>
  <si>
    <t>…eral. Honores del mismo Consejo. A D. Manuel González Salnjon, ministro nombrado para la corte de Saxonia; ,D. Justo María Ibar-Navarro, ministro honorario del Consejo y Cámara, y D. Víctor Soret, tesorero general. "' Grandezas. ; - í, \ : •• ’ ' ’ 1 ' &gt; ■ ' ■ Al conde de Pino-hermoso de primera clase, y al marques de S. Martin también de primera clase personal. . Collares del Toison de Oro. Al duque de Alagon, capitán de Guardias de la Real Persona,…</t>
  </si>
  <si>
    <t>Soria, Josef</t>
  </si>
  <si>
    <t>Josef Soria</t>
  </si>
  <si>
    <t>…ra volver á Roma. El mal principió á manifes tarse con calentura que guardaba período, acompañada de un dolor en las cos tillas, que aunque ligero, dió cuidado al médico de Cámara D. Josef Soria, acordándose de que se habia hallado otras veces en peligro por haberse dirigi do al pecho el humor gotoso que de tantos años á esta parte atormentaba á S. M. En consecuencia le aplicó los medicamentos oportunos, y al sexto dia de la enfermedad se halló S. M.…</t>
  </si>
  <si>
    <t>Soria, Josef María</t>
  </si>
  <si>
    <t>Josef María Soria</t>
  </si>
  <si>
    <t>…e acreditada , distinguiéndose en particular el sargento y k&gt;s dos cabos. „ Dios guarde á vmd. muchos años. Sto. Tomas Marzo 30 de 18x8.as Francisco. Xavier Suarez. = Sr. teniente coronel D. Josef María Soria.” Idem jp de Juliq. Parte del teniente coronel D. Vicente Lar a al' coronel y comandante ge-* nérai D. Matías Martin y Aguirre, - ,, Separado de V* $. la mañana del 27 del prójimo pasado Mayo de la inmediación de esta ciudad, marché., con la. sección dé mi ca…</t>
  </si>
  <si>
    <t>Soriano, Manuel</t>
  </si>
  <si>
    <t>Manuel Soriano</t>
  </si>
  <si>
    <t>…el primer batallón de Zaragoza; D. Bernardo Vergara, capitán,, ayudante del general Lignan; D. Manuel Alvarez, capitán delTetúmíento 'deZaragoza; D.Manuel Lara, teniente de idem ; D. Manuel Soriano, idem; D. Antonio Tuya, idem; D. Ramón Soto, sargento mayor del regi miento de la Puebla; D.-Francisco de Paula Landa, idem del de dragones de S. Luis; D. Cristóbal Vjllaseñor, capitán del de Sierragorda; D. Juan Bada joz, capitán del regimiento i.° americano…</t>
  </si>
  <si>
    <t>Sorribas, Cristóbal</t>
  </si>
  <si>
    <t>Cristóbal Sorribas</t>
  </si>
  <si>
    <t>…ando 500. Núm. 167. D. K. Z. 20. Núm. 168. D. J. J, J. 332 rs. y 32 mrs. Núme ro 169. D. M. P. 20. Núm. 170. D. J. H. 120. Núm. 171. Doña M. B. iock N úm. 172. D. N. 20. Núm. 173. D. Cristóbal Sorribas 4a. Núm. 174. Doña Eusebia de N. 20. Núm. 175. Doña Isabel Simón 40. Núm. 176. D. Juan Villena 40. Núm. 177. D. S. R. 300. Núm. 178. D. F. R. 30. Núm. 179. D. B. Y. 40. Núm. 180. D. P. F. 60. Núm. 181. Doña MaríaVindel, viu da, 20. Núm. 182. D. Miguel Carrera…</t>
  </si>
  <si>
    <t>Soto, Ramón</t>
  </si>
  <si>
    <t>Ramón Soto</t>
  </si>
  <si>
    <t>…ara, capitán,, ayudante del general Lignan; D. Manuel Alvarez, capitán delTetúmíento 'deZaragoza; D.Manuel Lara, teniente de idem ; D. Manuel Soriano, idem; D. Antonio Tuya, idem; D. Ramón Soto, sargento mayor del regi miento de la Puebla; D.-Francisco de Paula Landa, idem del de dragones de S. Luis; D. Cristóbal Vjllaseñor, capitán del de Sierragorda; D. Juan Bada joz, capitán del regimiento i.° americano; D. Juan .-Arguelles, teniente; del mismo:…</t>
  </si>
  <si>
    <t>Sotomayor, Ines Megia de Chaves</t>
  </si>
  <si>
    <t>Ines Megia de Chaves Sotomayor</t>
  </si>
  <si>
    <t>…dor y abastecedor res de cámesúque han sido en ella, sobre aprovechamiento de. pastos.: 9.0 Real egecutoria del mayorazgo que fundó el Sr. Martin de Chayes, yf. posesiones dáaas á Doña Ines Megia de Chaves Sotomayor del dicho ma yorazgo. ¿i * io. Testamentodelsabel Peinador, y otro del Lie. D. Manuel Atatiaez ¿ie Pineda, cura propio del lugar de Villaescusa. ■' ti\,/t</t>
  </si>
  <si>
    <t>Sotomayor, María Ana Sarmiento de</t>
  </si>
  <si>
    <t>María Ana Sarmiento de Sotomayor</t>
  </si>
  <si>
    <t>…de dicho Real palacio, dama de la Reina Doña María Luisa de Borbon y de su Real orden: era hija de los Excmos. Sres. D Juan de Mata Fernandez de Córdo ba , Espinóla de la Cerda, y Doña María Ana Sarmiento de Sotomayor, con desa de Salvatierra, quienes notando los singulares dotes y particular enten dimiento de que estaba adornada dicha señora, la destinaron para ser educa da ai Real monasterio de la Visitación de Sta. María, instituto de S. Fran cisco de Sales en esta cort…</t>
  </si>
  <si>
    <t>Soult</t>
  </si>
  <si>
    <t>…n laí expresión y el buen [■ &amp;gúsfO dél siglo de Pericles.. f '::ví—■"[' /-'l "'&gt;■ v -1' "'i-'. &gt; ^ ■ n$ílem'p¡ ^ t «• v-u.-&lt; ‘O-db'o’ ’G'.'i Cí’ &gt;• Hoy al anéébécer ha llegado el mariscal Soult á está córte. r f "2Í El dia i.° de Mayo se ¿rió en Florencia Una escuela de enseñanza mu^ r 1 ; ; /tü3^á la cual asísten ya 2odj&lt;ftsÓpülOs.^ :i&gt; ( ~ Ha llegado á Coblentza tin traspOrté con 82^ emigrados suizos, Wurtembergueses y alsacios, los cualcs van i e…</t>
  </si>
  <si>
    <t>Sparkes</t>
  </si>
  <si>
    <t>…tícas de Calcutta que se han presentado en las inmediacio nes de Naipore un cuerpo numeroso de árabes, y otras tropas de á caballo; y que habiendo hecho una salida contra ellos el capitán Sparkes con un des tacamento de 700 hombres, se vio rodeado de 2© ó 3© enemigos, con los que peleo obstinadamente; pero tuvo al fin que ceder con toda su gente, de la que solo se salvaron tres ó cuatro individuos. En todo el año de 1816 fueron enviados á Bahía. Botán…</t>
  </si>
  <si>
    <t>Spárre</t>
  </si>
  <si>
    <t>…capacidad para.30® hombres á lo menos,con todos los pertrechos necesarios, y 100$ fusiles de reserva. Se dará * principio á la obra en el mes dé Mayo ó tintes, y la * dirigirá el general Spárre i comandante dé ingenieros. Tenémos nuestro egércíto en un pie respetable, y en caso de una guerra pudiéramos contar con un egército activo de roo© hombres. Las cinco clases de la conscripción que de cretó la Dieta de 1812 están bastante diestras en el manejo…</t>
  </si>
  <si>
    <t>Sta, Antonio López</t>
  </si>
  <si>
    <t>Antonio López Sta</t>
  </si>
  <si>
    <t>…s dé confirmación de esta gracia. ti Dios guarde á V. E. muchos años. Veracruz Enero 18 de i8r9.=Excmo. Sr. s= Pascual de Liñan. :=Excmo, Sr. virey conde del Venadito.” Parte de.l capitán D. Antonio López Sta. Ana. j, En perseguimiento de los cabecillas titulados capitanes Manuel Salvador, Félix González y Mariano Cenobio salí de este punto con yo caballos , 50 de los indultados en estos dias , de la compañía de D. Marcos Benavides, y los 20 restantes de los reali…</t>
  </si>
  <si>
    <t>Sta, Antonio Montero y</t>
  </si>
  <si>
    <t>Antonio Montero y Sta</t>
  </si>
  <si>
    <t>…astellano: un tomo en 8.° Se hallará en las librerías de Matute y Rodríguez, calle de las Carretas. Diversidades morales, ó entretenimiento de la razón, traducidos del francés por D. Antonio Montero y Sta. Colomba; un tontito en 8.° impreso én 1786. Véndese en papel á 3 rs. en el almacén de la .imprenta. Rea í.\ '. | - Los suscriptorcs aí periódico de música titulado Ta Lira dé Apolo acudirán á re coger el primer cuaderno del tercer trimestre de este año, y es…</t>
  </si>
  <si>
    <t>Sta, Josef Saenz de</t>
  </si>
  <si>
    <t>Josef Saenz de Sta</t>
  </si>
  <si>
    <t>…n :Béaito ;]á DI Josef Prados eni él de manos, y D. Jiiikm Ma teo en el de: pies.’ Fueron -gratificados en la: clase de adorno Dv Josef Ruiz; en. la de figuras D. Benigno Álaiza , D. Josef Saenz de Sta. María y D. Ci-r riaco Verdejo; en la.de cabezas D. Josef Ijon; en la de manos D. Baltasar Te jada y y ¿ni; la de -.pies'JD. Pedro Olano. Los jóvenes de este .país -acreditan con su egemplar asistencia y esbiero que no. les ..son indiferentes las distin guida…</t>
  </si>
  <si>
    <t>Sta, Pedro Dávalos</t>
  </si>
  <si>
    <t>Pedro Dávalos Sta</t>
  </si>
  <si>
    <t>…reinos, en representación de esta; D. Josef Manuel de Arjona, corregidor de la muy heroica villa de Madrid, del Consejo de S. M., y su ministro togado en el supremo de la Guerra; D. Pedro Dávalos Sta. María, regidor perpetuo de la propia muy heroica villa, mariscal de campo de los Reales egércitos, y caba llero gran cruz de la Real y Militar órden de S. Hermenegildo, y D. Antonio Baquer, regidor honorario de la citada muy heroica villa, y su diputado del…</t>
  </si>
  <si>
    <t>Steriing, Francisco</t>
  </si>
  <si>
    <t>Francisco Steriing</t>
  </si>
  <si>
    <t>…de S. Car los de Nicaragua, en el mismo reino, al coronel graduado D. Sebastian Anguita, capitán retirado en Andalucía; y la sargentía mayor de la plaza de Puerto-Rico al teniente coronel D. Francisco Steriing, capitán del. batallón li gero de Hostalrich.. El Rey nuestro Señor, teniendo en consideración los muy importante! servicios con que en todos tiempos, y mas particularmente en estos últimos años, se ha distinguido la ciudad de Arequipa, se ha servido conceder…</t>
  </si>
  <si>
    <t>Steva, Rafael</t>
  </si>
  <si>
    <t>Rafael Steva</t>
  </si>
  <si>
    <t>…us escritos excusen generalidades, y procuren ce ñirse á lo mas sustancial y útil. Las memorias que se remitan para concurrir á los premios se lian de dírífrancas de portes al Dr. D. Rafael Steva, primer secretario de la acade mia, y han de estar escritas en español ó en latín. Madrid 27 de Enero. ARTICULO 1) B OFICIO. El Rey nuestro Señor se ha dignado conferir el empleo de gobernador del castillo de S. Josef de Cabo de Gata, en la costa de Granada,…</t>
  </si>
  <si>
    <t>Stewarf</t>
  </si>
  <si>
    <t>…salió ayer para Carlsruhe, estará de vuelta á fines del mes, y hacia el mismo tiempo se sabrá ya el resultado de las conferencias de Varsovia. Hace dos dias que llegó á esta corte lord Stewarf, embajador de S. M. Británica; de suerte que está ya completo el cuerpo diplomático. Muy en breve saldrá con su esposa para París el barón de Sturmer, que ha estado de comisario por el Austria en la isla de Santa Elena; pero se cree que no tenga su viage obje…</t>
  </si>
  <si>
    <t>Stewart</t>
  </si>
  <si>
    <t>…las deliberaciones del Consejo de Es tado no se ha tratado hasta ahora directa ni indirectamente de semejante abolición. ALEMANIA. Francfort jo de Enero. Ayer llego á esta ciudad lord Stewart, embajador de Inglaterra en la cor te de Viena, y hermano del lord Gastlereagh, que se restituye á su patria. El ministro de Rusia en Gonstantinopla parece que ha estado perfec tamente conforme con la Puerta en el nombramiento, del .príncipe Suzzo para la dig…</t>
  </si>
  <si>
    <t>Strangford</t>
  </si>
  <si>
    <t>Num. 121. [ 5 cuartos. ] 989^ DEL SABADO 2 DE OCTUBRE DE 1810. SUECIA. Stockolmo 5 de Setiembre. El día i.® de este mes se firmó en casa del lord Strangford, embajador de S. M. Británica en esta.corte, y: bajo la mediación de su Gobierno, el trata do definitivo, en virtud del cual han quedado arregladas las diferencias que existían éntre la Suecia y la. Dinamarca, siendo plenipotenciario por parte de SlM. Dinamar…</t>
  </si>
  <si>
    <t>Strángrord</t>
  </si>
  <si>
    <t>…arquesa ett-esta capital, con la ratificación dél-convenio que se firmó aíjíi i sobre la deuda pública de Noruega. Ayer al medio día1 Sé’ canjearon estas ratificaciones en casa de lord Strángrord , al cual', iguáImeht¿, qtae a Mr. dé Kíabbe, ministró dé Dinamarca, y á Mr. Hoist, secretario dé Estado de Noruega, se han regalado con este motivo cajas de oro coft el ré-* trato de nuestro Monarca ricamente guarnecido de diamantes. El Rey de Dinamarca ha c…</t>
  </si>
  <si>
    <t>Strogonoíf</t>
  </si>
  <si>
    <t>…geíhplo de prárte del Monarca Cristiano háTiéého la me jor impresión en todos los individuos del diván ; y de resultas han tomado» un semblante mas favorable las negociaciones del barón Strogonoíf. 1 j RUSIA. i í ■■ ■&gt;-' ' Petersburgo $ de Mateo.: . !Ha dirigido el Emperador "a Mr. Estanislao Sestrenzewitsch-Bohusch; metropolitano de las iglesia*-;Católicas ;dfcUiifcpeíio'v, un rescripto en la forma ■siguiente:. ' - • ' 'i'- — */■-'- - : ^ ,,Me ha hech…</t>
  </si>
  <si>
    <t>Stutterheim</t>
  </si>
  <si>
    <t>…gos se da entrada al público para que los vea. : : Ha concluido el Archiduque Carlos su historia de la famosa campaña de. 1799. También se continuará y acabará la obra del difunto general Stutterheim sobre la campaña de 1809, y. el general Langenau, actual ministro ple nipotenciario de Austria en Francfort cerca de la comisioné militar de la Die ta, se ocupa en escribir la historia de las.campañas de 1813 y 1814. Acompañarán al príncipe de Metternich en s…</t>
  </si>
  <si>
    <t>Sua-, Ignacio</t>
  </si>
  <si>
    <t>Ignacio Sua-</t>
  </si>
  <si>
    <t>…o Josef de Amírola. Ei tercero. por D. Mateo- Gil de Sola, en Madrid r.° de Abrirde 1814., 4 D-Andrés Fernandez. El cuarto por el .mismo Sola-, en 20 deMa-* JO' del propio año , á D. Ignacio Sua-:e¿. El quinto id. id. El sexto id. id. Y el s¿g-&gt; timo-por I&gt;. Pedro Sebastian.Perer, en-Sevilla 25 de Abril de 1814,-4 Doña Jose fa María Colarte. Y. asimismo- se cita- á los . tenedores de otro vale de 600 pesos de igual creación' y número 364111, y de otro…</t>
  </si>
  <si>
    <t>Suabia, Juan de</t>
  </si>
  <si>
    <t>Juan de Suabia</t>
  </si>
  <si>
    <t>…del castillo de Habsburgo, cuna de la dinastía actual de Austria; y por último visitaron el convento de Koenisgsfeider, dónde fue asesinado el Emperador Alberto por su sobrino el duque Juan de Suabia. Se están acabando.de habilitar en el primer piso del Louvre 27 piezas pa ra la exposición de las obras de industria, que se ha de verificar el dia 25 del corriente Agosto. Los efectos mas preciosos y los mas humildes, los frívolos adornos de la casa del rico…</t>
  </si>
  <si>
    <t>Suarez, Francisco</t>
  </si>
  <si>
    <t>Francisco Suarez</t>
  </si>
  <si>
    <t>…me morias de misas y casar huérfanas, nombramiento de patronos y capellanes, otorgada por los Sres- D. Francisco de Somoza Losada y Quiroga, abad de S: Estéban de Rivas de Miño y D. Francisco Suarez, como testamentarios de D. Juan de Somoza Losada y Quiróga, señor de la casa de los Somozas , an te Juan Vasallo, escribano del número de esta villa, en 1de Marzo de 166&amp; 15. Varios papeles que en su cubierta dice: Un memorial ¡ajustado, saca do de las escult…</t>
  </si>
  <si>
    <t>Suarez, Francisco Xavier</t>
  </si>
  <si>
    <t>Francisco Xavier Suarez</t>
  </si>
  <si>
    <t>ESPAÑA'. ' México 13 de Mayo. Continuación de los partes de Nueva-Esparta, Parte del subteniente D. Francisco Xavier Suarez al comandante y te niente coronel D. Jos ef María- Soria. „En. la mañana, de este día, á las cinco de ella, vinieron 400 rebeldes por el rumbo de la hacienda de Maravatio á atacar este destacamento de mi in mediato cargo., los qué aprovechándose de la oscurid…</t>
  </si>
  <si>
    <t>Suarez, Ignacio</t>
  </si>
  <si>
    <t>Ignacio Suarez</t>
  </si>
  <si>
    <t>…á D. Alejandro Josef Amirola; el tercero por D. Mateo Gil de Sola en ídem á i.° de Abril de 1814 a D. Andrés Fernandez; el cuarto.por el mismo Sola en 20 de Ma yo del propio año á D. Ignacio Suarez; el quinto ídem ídem ; el sexto ídem Idem, y el séptimo porD. Pedro-Sebastian Perez en Sevilla á 25 de Abril de 1814 a Doña Jo sefa María Colarte. Y asimismo se cita á los tenedores de otro vale de 600 pesos de igual creación, y número 364,111, y de otros dos…</t>
  </si>
  <si>
    <t>Suchet</t>
  </si>
  <si>
    <t>…,En atención al artículo 27 de la Carta constitucional hemos mandado y; mandamos lo que sigue: articulo i .° ^Nombramos individuos de la Cámara de los Pares a aioes-í tro primo ei mariscal Suchet, al marques de Angosse , al conde de Ar-* gout, consejero de Estado, al marques de Aragón, al .marques de Aramonf al barón de Barente, consejero de Estado, al teniente general conde Becker, al primer presidente del tribunal. Real 4e León barón Basta d de l’Et…</t>
  </si>
  <si>
    <t>…ellas al duque de la Ro’chefoucault, Mr. Benjamiti Delessert^ el vizconde de Móntmoréncy , él conde Ghaptal, el conde I*arú, el duque de Bróghé, Mr; Cottu, el báron Pasquier , el mariscal Suchet &amp;c. - f ; ; ‘ En la sesión pública de anteayer adjudicó la academia .de Ciencias á Mr. Fresnel el premio de física en el punto* que se había propuesto en sesión pú blica de 17 de Marzo de 1817.' El premio anual fundado por Mr. Alliambertpara los escritos» úti…</t>
  </si>
  <si>
    <t>…mimstrodd Interior de acuerdo con S. M. para el consejo &lt;5 junta general de las cárceles &lt;son los 'siguientes': . ■ t- ¡ - í :,..j El duque de la Rochefoucauld, Par de Francia; el mariscal Suchet, ídem; duque deBroglie, ídem ; barón Benjamín Delassert, miembro de la Cámara de los Diputados; marques de Marbois, Par de Francia; marques de Áligre; Idem ; marques de Catelan, ídem; vizconde de, Moritmórenci-, ídem; conde Chapral; Idem ; barón Pasquier, min…</t>
  </si>
  <si>
    <t>Suchtelen</t>
  </si>
  <si>
    <t>…Jackson , y dicénque está] resuelto i; retirar^ del 'servicio; militar;luego que pueda hacerlo decorosaxóeúte* gG/kG Gb qu ,, r\rr&lt; . nv/.-.m--;?,; .1 GiGiG •;* t.&gt; h i. ■''»• El general Suchtelen, hijo del ministro de Rusia residente en Stockolmo, ha salido de esta ciudad para volver á Fetersburgo. En un periódico extrangero se calcula que, la extensión de la Europa es de 154,449 leguas cuadrada^ y el número de sü$~ habitantes de-177.221,600. Se cuent…</t>
  </si>
  <si>
    <t>…Fock y de Albedyhl, secretarios de Gabinete, acompañarán al ministro de Negocios extrangeros. ' Ayer llegó con pliegos de Petersburgo el coronel Matschusky, ayudante de campo del general Suchtelen, á quien se estaba aguardando mucho tiem po hace. DINAMARCA. Copenhague 13 de Mayo. Escriben de Suecia que para facilitar la correspondencia con el campamen</t>
  </si>
  <si>
    <t>Suero, Tomas</t>
  </si>
  <si>
    <t>Tomas Suero</t>
  </si>
  <si>
    <t>…Urrutía , lle vaba una guerrilla compuesta de 24 hombres de infantería y caballería , á quien mandé avanzar luego que avisté los enemigos; y al instante, siguiendo ai pri mero, al capitán D. Tomas Suero con su caballería de fieles del Potosí., y al eapitan D. Josef Román con la infantería de Nueva-Éspaña, mandando las dos partidas anteriores, puso en fuga á los rebeldes; y yó, que á la vista de estos movimientos estaba con la reserva, destiné sin perder mome…</t>
  </si>
  <si>
    <t>Sulliwaii</t>
  </si>
  <si>
    <t>…as?donaciones de ía» Gallas. Se continúan fas excavaciones cois esperanzas de felices resultados. . ' . ' ..... :: •: - ;- .... Idem «5. ' Hace tres dias que llegaron á esta corte lord Sulliwaii^ consejera íntím* de S. M. Británica, lord Cliford y¡ lord Sumerville. ídem 28 El Emperador.de Ruda ha recibido de Inglaterra un sable fabricado en Londres en el obrador de Mr. Sowerby, del hierro de un aeróiito, ó piedra ¿raída de ía atmósfera, que llevó del…</t>
  </si>
  <si>
    <t>Sumerville</t>
  </si>
  <si>
    <t>…anzas de felices resultados. . ' . ' ..... :: •: - ;- .... Idem «5. ' Hace tres dias que llegaron á esta corte lord Sulliwaii^ consejera íntím* de S. M. Británica, lord Cliford y¡ lord Sumerville. ídem 28 El Emperador.de Ruda ha recibido de Inglaterra un sable fabricado en Londres en el obrador de Mr. Sowerby, del hierro de un aeróiito, ó piedra ¿raída de ía atmósfera, que llevó del Ornó“de Bueña-Esperanza á Inglaterra efe Capitán B.frrow: Este sable…</t>
  </si>
  <si>
    <t>Surga, Domingo</t>
  </si>
  <si>
    <t>Domingo Surga</t>
  </si>
  <si>
    <t>…Alcaraz; D. Rafael Fausto,Florín,, intendente graduado de pro vincia D. Josef Vázquez Ballesterps, fiscal del Consejo supremo de Ha cienda; D. Luis de Peñalvervecino.de la Havana; D. Domingo Surga, se gundo teniente del primer regimiento de Reales guardias de infantería; Don Vicente Martínez, primer médico de Cámara; Di Ignacio Moreno, tesorero . dé egército honorario , y director presidente de la Real compañía del Guadal%quivir; D. Pedro Joaquín de Mu…</t>
  </si>
  <si>
    <t>Suria, Francisco</t>
  </si>
  <si>
    <t>Francisco Suria</t>
  </si>
  <si>
    <t>…de la Reina nuestra.Señora Doña Ma&amp;xa Josefa Amalia, copiado del cuadro original remitido á S. M.; dedicado al Rey nuestro Señor; dibujado por Don Antonio Guerrero, y grabado por D. Francisco Suria, con el permiso de la Real acadeiriia de S. Fernando, en cuartilla de marca mayor. Se vende iluminado á 10 rs. y en negro á 6 en el almacén de estampas de la calle Mayor, frente á la cas* del conde de Qnate, y en la librería de Sanz, calle.de las Carretas. no…</t>
  </si>
  <si>
    <t>Suria, Josef</t>
  </si>
  <si>
    <t>Josef Suria</t>
  </si>
  <si>
    <t>…. Madrid 27 de Enero. ARTICULO 1) B OFICIO. El Rey nuestro Señor se ha dignado conferir el empleo de gobernador del castillo de S. Josef de Cabo de Gata, en la costa de Granada, á D. Josef Suria, capitán retirado : el de gobernador del castillo de la Palma , en la ría del Ferrol, á D. Bonifacio Fernandez, subteniente graduado de teniente del regi miento infantería de Jaén; y la segunda ayudantía de la plaza de Peñíscola á D. Francisco Rico y Toran, a…</t>
  </si>
  <si>
    <t>Suzzo</t>
  </si>
  <si>
    <t>…mano del lord Gastlereagh, que se restituye á su patria. El ministro de Rusia en Gonstantinopla parece que ha estado perfec tamente conforme con la Puerta en el nombramiento, del .príncipe Suzzo para la dignidad de hospodar,y le ha cumplimentado según etiqueta por. medio de su dragomán. El príncipe Suzzo ha sido ya dos veces antes de aho ra hospodar de Moldavia y de Valaquia. GRAN BRETAÑ A. Lavalette {isla-de Malta) &lt;Tde Enero. El d ia. 16 de Diciemb…</t>
  </si>
  <si>
    <t>Suzzo, Alejandro</t>
  </si>
  <si>
    <t>Alejandro Suzzo</t>
  </si>
  <si>
    <t>…hijos,y el príncipe llegó á las seis de la tarde sin ninguna pompa ni aparato, pues anda de incógnito hasta que se verifique su entrada solemne, que será dentro de pocos días. EL príncipe Alejandro Suzzo representa 6o años de edad; tiene ún conti nente grave, y es hombre de buen talento. Su conducta presenta el modelo de un buen padre de familias: su esposa, hermana del príncipe Carlos Callimachi, hospodar actual de Moldavia, es muy piadosa, y rio se ocupa ma…</t>
  </si>
  <si>
    <t>Suzzo, Miguel</t>
  </si>
  <si>
    <t>Miguel Suzzo</t>
  </si>
  <si>
    <t>…otra partee! 26 de Junio.próximo pasado llegó á Jassi un correó de Gonstantinopla con la noticia de que la Puerta habla destituido al hospedar Kallimachi, nombrando en su lugar al príncipe Miguel Suzzo. , # GRAN BRETAÑA. * * : Londres 18 de ¿Lgosto. T * Las cartas recibidas últimamente de Manchester refieren que estando con vocada por Hunt úna asamblea popular para el dia 16 del corriente, se tras ladaron los magistrados á las 10 de la mañana al lugar de la…</t>
  </si>
  <si>
    <t>Swartzemberg, Carlos de</t>
  </si>
  <si>
    <t>Carlos de Swartzemberg</t>
  </si>
  <si>
    <t>…se pien sa, establecer un consejo ministerial bajo la inmediata presidenciá del príncipe de Hardemberg. ; AUSTRIA. : . , •: &gt; .Wena ig de Diciembre. . Se cree generalmente que el príncipe Carlos de Swartzemberg, presidente del consejo áulico superior de la Guerra, sea nombrado para el ministerio de</t>
  </si>
  <si>
    <t>T, F.</t>
  </si>
  <si>
    <t>F. T</t>
  </si>
  <si>
    <t>…. 599. X&gt;. M. M. $0. Núm. 6oc&gt;. D. Manuel Menendez iqo Núm. 601. D. Faustino Medrano 2©. Núm. 602. El limo. Sr. deán y cabil do de la santa iglesia primada de Toledo 60. Núm. 603. D. F. T. 360. Nú mero 604. D. N. 40. Núm. 605. El señor cura de S. Andrés de Madrid, por limosnas recibidas de dos feligresas, 30. Núm. 606. D. J. R. 24. Núm. 607, El señor teniente mayor de la parroquia de S. Luis.de,Madrid, por limosnas recibidas de sus feligreses,…</t>
  </si>
  <si>
    <t>T, J.</t>
  </si>
  <si>
    <t>J. T</t>
  </si>
  <si>
    <t>…nte ro. Núm. 526. Doñ Lorenzo Ximenez 60. Núm. 527. Doña D. L. V* 20. Núm. 5 28. Los seño-i res cuestores del cuartel del Barquillo, por resto de la demanda en éí, 82^ Núm. 5 2¡9¿ D. J. T. 120. Núm. 530. D. Antonio Solito 80 rs. y 4 mrs. Nú mero IX M» G. F. 60. Por el correo de 16 de Noviembre se libraron al limo. Sr. obispo de Cá diz, con anuencia de S. M., 25© rs. vn. para que S. I. los distribuya en los pueblos contagiados en los mismos térm…</t>
  </si>
  <si>
    <t>T, J. L.</t>
  </si>
  <si>
    <t>J. L. T</t>
  </si>
  <si>
    <t>…52. D. Faustino Sánchez Sevillano 200. Núm. 153. D. N. 160. Núm. 154. D. F. F. C. 320 rs. y 24 mrs Núm. 155. El Excmo. Sr. Nuncio de S. S. 1®. Núm. 156. D. J. Y. A. 320. Núm* 157. D. J. L. T. 60. Núm. 158. Doña N. 6. Núm. 159. Doña F. V* 100. Núm. ióq. D. A. R. Z. 100. Núm. 161. D. J. A. A. 120. Nú mero 162. D. N. 320. Núm. 163. D. F. F. 60. Núm. 164. D. N. N. 133. Núm. ió$. Pablo de la Cuesta 10. Núm. 166. D. Josef María de Pando 500. Núm. 167. D…</t>
  </si>
  <si>
    <t>T, L.</t>
  </si>
  <si>
    <t>L. T</t>
  </si>
  <si>
    <t>…. 400. Núm. 144- Doña M. V. y M. 100. Núm. 14^. D. Francisco Mu ñoz, cura de Sta. Cruz de Madrid, por limosnas recibidas de sus feligreses, 200. Núm. 146. D. E. M. 100. NútTK.147. D. L. T. 60. Núm. 148. D. B. C. 120. Núm. 149. Doña J. G. y D. T. A. 40. Num.-150. D. J. L. y Doña María C. L. 400. Núm. 151. D. A. C. 220. Núm. 152. D. Faustino Sánchez Sevillano 200. Núm. 153. D. N. 160. Núm. 154. D. F. F. C. 320 rs. y 24 mrs Núm. 155. El Excmo. Sr.…</t>
  </si>
  <si>
    <t>T, M.</t>
  </si>
  <si>
    <t>M. T</t>
  </si>
  <si>
    <t>…M. 100. Núm. 87. D. Francisco Antonio Bringas 2©. Núm. 88. D. C. R. 20. Núm. 89. D. Manuel Guerra 200. Núm, 90. D. I. de V. 160. Núm, 91* D N. 80. Núm. 92. D. J. M. 320. Núm. 93. D. M. T. 300. Núm. 94. D. C. R. 2co. Núm". 95. D. Juan Carretero 200. Núm. 96. La Real corpo ración de capellanes de honor 6©. Núm. 97. Agueda Moreno, viuda, 20. Nú mero 98. D. T. S. 40. Núm. 99. D. Y. de M. 120. Núm. 100. D Manuel Piernas 4C0. Núm. 101. D. S. S. T. 1…</t>
  </si>
  <si>
    <t>T, S. S.</t>
  </si>
  <si>
    <t>S. S. T</t>
  </si>
  <si>
    <t>…96. La Real corpo ración de capellanes de honor 6©. Núm. 97. Agueda Moreno, viuda, 20. Nú mero 98. D. T. S. 40. Núm. 99. D. Y. de M. 120. Núm. 100. D Manuel Piernas 4C0. Núm. 101. D. S. S. T. 1©. Núm. 102. D. Diego Man girón 120. Núm. 103. El Excmo. Sr. marques de la Concordia 3©. Núm. 104. D. N. 80. Núm. 105. Un señor brigadier del egército 80. Núm. 106. D. B. V\ 40. Para el mismo piadoso objeto se han suscrito: Núm. 10 D. Juan Lecan-r da, por el…</t>
  </si>
  <si>
    <t>Tá, J de</t>
  </si>
  <si>
    <t>J de Tá</t>
  </si>
  <si>
    <t>…des de los cuatro dias primeros manifestaron los seminaristas su instrucción en el catecismo dogmático, ortología, calografía, diseñó, etimología y sin-s ; táxis.de la! gramática general J de Tá datioa ¿ aritmética,; 1 álgebra y géométría elementalhistoria de la^ Biblia., córaposiciou ra prosa y yerso,; prosodia y'</t>
  </si>
  <si>
    <t>Tacón, Miguel</t>
  </si>
  <si>
    <t>Miguel Tacón</t>
  </si>
  <si>
    <t>…cederle la; gran cruz; de la Real y distinguida Orden americana de Isabel la Católica.. ¿ 1 En atención a los distinguidos; méritos contraídos en América por el ma riscal de campo D. Miguel Tacón,. le ha concedido S* M. la gran cruz de la Real Orden americana de Isabel la Católica. Por Real resolución de i r del- presente mes , á consulta* del Consejo* su premo de la Guerra, se ha servido S. M. conceder al Dr. D. Juan Antonio Alvarez, profesor de farm…</t>
  </si>
  <si>
    <t>…guez Vizuete para la de Usagre , ambas de primera clase. ; El Rey nuestro Señor se ha servido conferir el gobierno militar y político del Puerto de Sta. María al mariscal de campo D. Miguel Tacón: el de la pla za de Cardona ai coronel D. Ramón Gayan, teniente de rey de la plaza de Zaragoza: el de la de Monzon al coronel D. Antonio Hernández del Pont, comandante de batallón del regimiento de infantería del Infante D. Carlos: el del castillo de Moqjuich…</t>
  </si>
  <si>
    <t>Tadeo</t>
  </si>
  <si>
    <t>…cto, fue presidido por el M. R. P. Corrector Fr. Francisco de Paula Guerra y otros eclesiásticos seculares y regulares. El acto se abrió por un breve discurso que pronunció el Br. D. Tadeo de- la Vega, catedrático de dicha dase, alusivo á las circunstancias. En se guida se presentaron los alumnos D. Antonio Moyano-, D. Domingo Ortiz, D. Josef Murien, D. Juan Gutiérrez, D. León Coro y D. Josef Bermudez?. á quienes por orden se abrió á la suerte…</t>
  </si>
  <si>
    <t>TadeoSan-</t>
  </si>
  <si>
    <t>…osens , durante la epidemia ,con 200 rs. mensuales. Núm. 22. D. Josef Remigio del Toril y Torralba, por idem, con 20 idem. Núm. 23. Doña M. C. S., por idem , con 60 idem. Num. 24. D. TadeoSan-</t>
  </si>
  <si>
    <t>Tailor</t>
  </si>
  <si>
    <t>…ión que su difunta madre tenia á madama Békendorf, ama de gobierno de la casa , la han entregado un coche y varios muebles y efectos. /. . V ? Este testamento, escrito de mano del general Tailor, está firmado 'el día antes del 'fallecimiento de la Reina por ella y por los médicos Mihúánn y Halford én clase de testigos. Habiendo ido el Príncipe Regente con las Princesas sus hermanas á BucJdnghamhouse (palacio de la Reina) para asistir ai inventario y…</t>
  </si>
  <si>
    <t>Tajonar, Juan Bautista Echeverría y IX Ramón</t>
  </si>
  <si>
    <t>Juan Bautista Echeverría y IX Ramón Tajonar</t>
  </si>
  <si>
    <t>…contraído por los oficiales que he tenido el Honor de mandar en este tienipo, y son: del re gimiento de infantería de Zaragoza capitán D. Juan Power, tenientes D. Joa quín Araujo, D. Juan Bautista Echeverría y IX Ramón Tajonar; subtenientes D. Francisco Campo Osorio, D. Santiago Bermejo, D. Juan Benavente y Don Tomas Cepero: del primero Americano capitán D. Joaquín Sánchez Badajoz; subtenientes D. Juan Calvillo y D. Francisco Alvarez: del provincial de Fer nando, vil subteniente D…</t>
  </si>
  <si>
    <t>Talaban, Manuel</t>
  </si>
  <si>
    <t>Manuel Talaban</t>
  </si>
  <si>
    <t>…ión á este punto; y determi né pasarme con la caballería que llevaba al rancho de Guambio, dejando por el mismo camiqo una guerrilla de 15 dragones, alomando del alférez gradua do D. Manuel Talaban, para observación de sus movimientos. „ Una hora habría pasado cuando uno de los vigías me dio aviso qué el enemigo se acercaba á mi guerrilla, ocultando su fuerza en el bosque, y pre-* sentando otra corta. ,, Luego que;el. enemigo se, encontró con mi guerril…</t>
  </si>
  <si>
    <t>Talero, Juan</t>
  </si>
  <si>
    <t>Juan Talero</t>
  </si>
  <si>
    <t>D. Juan Talero, exento de la Real guardia de la Persona de S. M., y Don Juan Gallo, cadete del mismo Real cuerpo, comisionados por el ayuntamien to de la villa de Arjona, reino de Jaén, tuvieron el 26 del pasado ia honra de cumplimentar á S. M. y besar su Real mano por el f…</t>
  </si>
  <si>
    <t>Tandilia, Francisca</t>
  </si>
  <si>
    <t>Francisca Tandilia</t>
  </si>
  <si>
    <t>…íidél barrio de Monserrat , idemven el de -MaravíilasrávDoña María, tdelqs -Dolo res Fernandez, maestra de la Real escuela ,délr barrio del SdcRasilim,fiüemj en el del Barquillo á Doña Francisca Tandilia, maestra déTIaReal escuela det barrio de las SaLsas, ídem; en el de S. Martin á Doña María, dé laMata» maestra de la Real escuela del barrio de S* Luis* iden^i en el der¡S.i Gerdni^ mo á Doña María Antonia de la Yerba, maestra de la Real escuela'dei ibarrid d…</t>
  </si>
  <si>
    <t>Tapado, Antonio González</t>
  </si>
  <si>
    <t>Antonio González Tapado</t>
  </si>
  <si>
    <t>…s cgecutadas ,en el rio, y por otra la comodidad de la navegación en lós barcos .de vapor ■ 1 jaman- tantas gentes al &gt;Guadalquivir, el maestro de postas de Ja provincia de Cjádiz D. Antonio González Tapado presentó á dicha Real compañía un proyecto de establecer un faetón desde el Puerto de Sta. María al muelle de Bonanza para servicio de los que viajan en el barco de vapor. Considerando la compañía cuan útil seria la egeCucion de este pensamien to estimuló á T…</t>
  </si>
  <si>
    <t>Tapia, Domingo María de</t>
  </si>
  <si>
    <t>Domingo María de Tapia</t>
  </si>
  <si>
    <t>…a y Justicia de España ó Indias al Excmo.'Sr. duque del Infantado , presidente del Consejo Reaí^ con fecha i.° de Febrero de este año, se sirvió el Rey nuestro Señor man dar que á D. Domingo María de Tapia, vecino de la ciudad de Lucena, me diante los extraordinarios; servicios'que contrajo en la.-persecución de malhe-</t>
  </si>
  <si>
    <t>Tapia, Eugenio de</t>
  </si>
  <si>
    <t>Eugenio de Tapia</t>
  </si>
  <si>
    <t>…reso en 1791. Véndese á 11 rs. en papel en el almacén de la imprenta Real. Cartas á Sofía én prosa y verso sobre la Física, Química é Historia natural, tra ducidas del francés por D. Eugenio de Tapia :5tomo 2.0 que contiene entre otros asun-' tos ios siguientes: continuación dél tratado sobre el ahe*. emigraciones de las aves; nuevas y curiosas observaciones del autor sobre esta materia: de los vientos y de si^s. causas: de los huracanes y otras violentas…</t>
  </si>
  <si>
    <t>Tapía, Eugenio de</t>
  </si>
  <si>
    <t>Eugenio de Tapía</t>
  </si>
  <si>
    <t>…ino de 30 dias, contados desde .r.0 del-corriente. ’ '■ i ’ .-. . Cartas á Sofía en prosa "y versó sobre la ,fisica ,lá; química é bist or ja natuíralj tra ducidas del francés por D. Eugenio de Tapía v Jóiiib gi'4,' en se, trata dé lo^ asun tos siguientes. Del fuego: de los animales luminosos, y de los grántfésfuégos'fosfóri cos que se observan á veces en las aguas del mar. Perjudicial ihvento/de las armas 3c fuego: episodio poético sobre la heroica muert…</t>
  </si>
  <si>
    <t>Tapia, Josef de</t>
  </si>
  <si>
    <t>Josef de Tapia</t>
  </si>
  <si>
    <t>…on derecho á suceder en el citado vínculo, que según los llamamientos1 específicos lineales contenidos en la fund'acion de él son D. Alonso de* Contreras, Dona María dé Contreras, D. Josef de Tapia, Doña Ana de Contreras, su rnuger, D. Juan de Tapia y p. Josef de Tapia, y que para que llegue á su no-; ticia se anuncie en la gaceta de esta corte. En cuya- virtud se previene á todos los! que tengan dicho derecho de. suceder que .dentro de 4 meses y 20 dia…</t>
  </si>
  <si>
    <t>Tapia, Juan de</t>
  </si>
  <si>
    <t>Juan de Tapia</t>
  </si>
  <si>
    <t>…los llamamientos1 específicos lineales contenidos en la fund'acion de él son D. Alonso de* Contreras, Dona María dé Contreras, D. Josef de Tapia, Doña Ana de Contreras, su rnuger, D. Juan de Tapia y p. Josef de Tapia, y que para que llegue á su no-; ticia se anuncie en la gaceta de esta corte. En cuya- virtud se previene á todos los! que tengan dicho derecho de. suceder que .dentro de 4 meses y 20 dias, por que se ha fijado el primer edicto, acudan-á d…</t>
  </si>
  <si>
    <t>Tardío, Gaspar</t>
  </si>
  <si>
    <t>Gaspar Tardío</t>
  </si>
  <si>
    <t>…Josef Medina;-en Sigüenza en la del Lie. O. Juan.Antonio Mendéz; en Santan der en la del Lie. D. Ramón de Egnarasyen Valladolid en 1a del Dr. D. Luis Me-' j&gt;a; en Astorga en la de D. Gaspar Tardío: én Toledo en la de D. Benito Lizana; en Ciudad Real en la de D. Francisco Morales; en Cuenca en la de D. Manuel Faustino de César; en Badajoz en la del Dr. D. Jaime Brancos; en Plasencia en la de D. JoseCP io López.Samaniego; en Villanueva de la Serena en la…</t>
  </si>
  <si>
    <t>Tauregui, Francisco de Araña</t>
  </si>
  <si>
    <t>Francisco de Araña Tauregui</t>
  </si>
  <si>
    <t>…cribano del numero Alfonso Jacinto Vecino, fecha 19 de Oc tubre de 1611. , . 12. . Papeles correspondientes á la prebenda que fundó en la parroquial de S. Sebastian de esta coarte D. Francisco de Araña Tauregui. * , ¿ * 13- Egecutoria del gremio de mercaderes de vidrio y vidriado y otros barros, en la observancia para que en Madrid ni sus rededores pueda nadie vender por menor los géneros que corresponden á dicho gremio. . 14., Escritura de aplicación y distribución…</t>
  </si>
  <si>
    <t>Te, Baltasar</t>
  </si>
  <si>
    <t>Baltasar Te</t>
  </si>
  <si>
    <t>…os en la: clase de adorno Dv Josef Ruiz; en. la de figuras D. Benigno Álaiza , D. Josef Saenz de Sta. María y D. Ci-r riaco Verdejo; en la.de cabezas D. Josef Ijon; en la de manos D. Baltasar Te jada y y ¿ni; la de -.pies'JD. Pedro Olano. Los jóvenes de este .país -acreditan con su egemplar asistencia y esbiero que no. les ..son indiferentes las distin guidas gracias dispensadas á. esta escuela de dibujo, por la piedad augiisfa de S. M., ni la infati…</t>
  </si>
  <si>
    <t>Te, Santiago</t>
  </si>
  <si>
    <t>Santiago Te</t>
  </si>
  <si>
    <t>…enes. Reunidos los individuos;de la Real sociedad eñ el Séloii de sus sesiones, se presentaron los ocho alumnos mas so bresalientes de la cátedra, que fderori DJBefiito Ferrandez, D. Santiago Te jada, D. Ange{ Valero Sardi, D. Pedro Gudál, D. Pedro Antonio Pallete, D. Juan María, BiecyD. Pedro Nogues Secall, y D. Anacleto Toron y Dolz. El catedrático del establecimiento D. Agustín Alcaide dio principio al acto, manifestando la necesidad del estudió d…</t>
  </si>
  <si>
    <t>Tege, Rafael</t>
  </si>
  <si>
    <t>Rafael Tege</t>
  </si>
  <si>
    <t>…Madrazo, un S, Fernando para la capilla defcanal por Don Zacarías Veíazquez, y diversos retratos .hechos por D. Josef Aparicio, por D. Francisco Goya, por D. Luis Cruz y Ríos, por D. Rafael Tege, joven de 20 años, discípulo de la academia, de quien eran igualmente otros dos cuadros originales; y habia&lt;también varias copias de algunas buenas obras de nuestros antiguos pintores'hechas por D. Francisco Garrafa. En dos salas que forman él entresuelo se c…</t>
  </si>
  <si>
    <t>Tejada, Antonio Lino Cordon de</t>
  </si>
  <si>
    <t>Antonio Lino Cordon de Tejada</t>
  </si>
  <si>
    <t>…diarios con la carga de una misa cada semana. Si algún sacerdote quisiere emplearse en este ministerio podrá dirigir su pretensión á D. Heméterió SaJazar, D. Fausto de Almarza, ó D. Antonio Lino Cordon de Tejada, presbíteros beneficiados en la parroquial de dicha villa, y patronos de la citada obra pia. Suscripción al compendio del ano Cristiano, segunda edición: comprende la ex plicación del misterio ó la vida del santo, con su estampa historiada correspondiente á c…</t>
  </si>
  <si>
    <t>Tejada, Félix de</t>
  </si>
  <si>
    <t>Félix de Tejada</t>
  </si>
  <si>
    <t>…on hasta la rendición de la plaza. Ascendido á capitán de fragata en 2 de Marzo de 1782 obtuvo el mando de'la nombrada plena, perteneciente á la escuadra de evolución del teniente general D. Félix de Tejada, con la cual pasó á Nápoles y Liorna. Promovido á capitán de navio en el año de 93 , le confirió S. M. el mando del S. Ramón, perteneciente á la expedición que dirigió el teniente general D. Gabriel Aristizabal contra las An tillas, destinándolo al bloqueo de…</t>
  </si>
  <si>
    <t>Tejada, Juan Saenz de</t>
  </si>
  <si>
    <t>Juan Saenz de Tejada</t>
  </si>
  <si>
    <t>…das.. En consecuencia de lo mandado por $1 señor subdelégadó general de bienes Mos- ’ trericoá, vacantes y abintéstafos en ¿uto; de r.° dél corriente ; se cita, llama y em plaza a D. Juan Saenz de Tejada, D. Josef Gáray y á’EK lFráncisc6 Antonio Ber- . mudez, á quien se hallan endosados, últimamente tres vales Reales de 600 pesos,1 creación de i.° de Enero dé 1808, señalados con los números 376,846, 375,382 y 376,770: á D. Joaquín Guerra, á los señores viuda…</t>
  </si>
  <si>
    <t>Tejada, Pedro Sanz de</t>
  </si>
  <si>
    <t>Pedro Sanz de Tejada</t>
  </si>
  <si>
    <t>…na, Santapola, Valencia, Barcelona, Cartagena, Vinaroz,-Aguilas, Villajoyosa , Denia, Gandía , la-Higuéríta, Vigo y Blanes. ¡Sote* de Cameros 21 de Enero. El profesor de latinidad D. Pedro Sanz de Tejada, aprobado por él supre mo Consejo, habiéndose propuesto desde que empezó la enséñanza desterrar de su clase los libros de baja latinidad, y sustituirlos autores clásicos, y que aprendiesen los niños por el método* de DdLiiis ide!Mata'y Ataujo, catedrático de…</t>
  </si>
  <si>
    <t>Tejada, Santiago Hernández de</t>
  </si>
  <si>
    <t>Santiago Hernández de Tejada</t>
  </si>
  <si>
    <t>…por el conducto de su secretario Don Leandro de Quesada. Adrián y Estefanía, ó la Isla desierta. Historia faancesa por el autor de Berta y Richemont, y traducido al castellano por D. Santiago Hernández de Tejada: un to mo en 8.° con una estampa fina. Se hallará en las librerías de Barco López, calle de la Cruz, de Rodríguez, calle de las Carretas, y en Cádiz en la de Hortal y com pañía. Retrato á caballo del general en gefe D. Pablo MoriHó, conde de Cartagena y marqu…</t>
  </si>
  <si>
    <t>Tejedor, Francisco Blasco y</t>
  </si>
  <si>
    <t>Francisco Blasco y Tejedor</t>
  </si>
  <si>
    <t>…Mendez de Vigo; D. Manuel de Rosales; D. Indalecio de la Torre; conde de Zanoni, y D. Luis Nieulant y Altamirano. Honores de secretarios del Rey. A D. Josef de la Torre y Sainz, y D. Francisco Blasco y Tejedor. Plazas supernumerarias de gentileshombres de la Real casa. A D. Manuel Sainz de la Maza; D. Santiago Vicente Masarnau y Fer-</t>
  </si>
  <si>
    <t>Tejeiro, Vereraiindo Arias de</t>
  </si>
  <si>
    <t>Vereraiindo Arias de Tejeiro</t>
  </si>
  <si>
    <t>…e se hallaban en ella, y también ael Excmo. Sr. capitán general de este egército y reino D. Francisco Xavier Elío, juez protector de este Real cuerpo. Ofició el Excmo. é limo. Sr. arzobispo D. Vereraiindo Arias de Tejeiro, cas* pellan de dicho cuerpo, asistido de canónigos de esta santa metropolitana iglesia. En el primer día pronunció la oración fúnebre por: la RniNA nuestra Señora el P. P. Fr. Jaime Villanueva, del orden de Predicadores; y en ei se gundo por SS. MM. los Seño…</t>
  </si>
  <si>
    <t>Tentor, Luis</t>
  </si>
  <si>
    <t>Luis Tentor</t>
  </si>
  <si>
    <t>…los mismos examinadores y el profesor , y desatáronlas: dificultades que les opusieron. En los'dias 4, 8 y 9 leyeron sus disertaciones ;E). Josef Gorria, D. Joa quín García Saenz, D. Luis Tentor, D. Francisco Ramírez, D. Antonio Pi queras y D. Ramón Pacanins sobre la teoría de fracciones , fracciones deci males, números complexos , razones, proporciones y progresiones , regla de tres , aplicaciones de ella á las operaciones de comercio , descuento ad…</t>
  </si>
  <si>
    <t>Teran, Gabriel</t>
  </si>
  <si>
    <t>Gabriel Teran</t>
  </si>
  <si>
    <t>…co comandante de inválidos de aquella, plaza, á la que pasó de capitán del regi miento de Asturias, y constando en 1795 tenia una hija en dicho México, de quien debe tener noticia D. Gabriel Teran, montañés, comerciante en dicho México, se encarga igualmente que los que sepan de su paradero lo anuncien, y que cualquiera de los dos sucesores son preferidos al goce de dichos vínculos, y antes que el dicho D. Anselmo y sus hermanos, por provenir de D. Jos…</t>
  </si>
  <si>
    <t>Teresa'Rodríguez, María</t>
  </si>
  <si>
    <t>María Teresa'Rodríguez</t>
  </si>
  <si>
    <t>…demas, se adjudicaron al acabar la sesión de cada día, precedida la, censura y califica * cion de las maestras examinadoras , á las siguientes; . lc ¡ En el cuartel de la Plaza á Doña María Teresa'Rodríguez:;: maestra de la Real escuela del barrio de Sta Cruz, una onza dé oro: en el :de¡Palacio á Do ña Ines Máreos, maestra de la Real escuela del barrio: de &gt;Stai/-Mariay jjdemr en el de Afligidos á Doña: Vitorva Martinezjl,maestra dé lar Real dsaútfhíidél barrio…</t>
  </si>
  <si>
    <t>Testa</t>
  </si>
  <si>
    <t>. Ndtn. 108. [ { enanos. ] 88; DEL SABADO 4 DE SETIEMBRE DE 1810. ; TURQUÍA. Coristantinopla 20 de Junio» R1 caballero Testa, encargado de Negocios de los Países-Bajos, hizo estos «lías;tina visita sdléúme al gran* visir*para entregarle una carta autógrafa de su Soberanb, de- resultó^ de haber reconocido lá Puerta el reino de tos PaísesBajos. . . El día 22 de este mes, después de p…</t>
  </si>
  <si>
    <t>Thist</t>
  </si>
  <si>
    <t>…e repentinamente prorumpió en gritos la muche dumbre al ver un carro precedida.de banderas. .Seguíale un coche de al* quiler, en que iban el doctor Watson, el zapatero Preston, el doctor Thist* lewood y algún otro de* la misma clase: di ó una vuelta por la plaza la, co mitiva,. y luego paró en el mismo sitio donde Hunt había arengado á la últi-f ma junta; en esta habría unas 5$ personas cuando mas, y muchos se fue* ron retirando al acercarse la noc…</t>
  </si>
  <si>
    <t>Thorwaldson</t>
  </si>
  <si>
    <t>sido nombrado vice-Iegado de Boloña un joven qpe apenas había acabado sus estudios en el colegio donde se educaba. ' • ■ * ... ,,E1 caballero Thorwaldson, célebre escultor, se está disponiendo para ha cer un viage á Viena, Berlín y Copenhague, y de vuelta pasará por Varsovia para ver el sitio donde debe colocarse el monumento dedicado á la me moria del Príncipe Poniatowsky que le han encargado. ,,Se espera aqu…</t>
  </si>
  <si>
    <t>Thotr</t>
  </si>
  <si>
    <t>…todo lo posible píor aliviar nuestros pasados males. : . ..Dinamarca. ^ . •. ; ,ííu,;h U. Copenhague g Ue Junto* \ . :\t &gt;... . Ha llegado,en-posta á esta ciudad- desde Anecia ei conde Thotr. v Aquí no se habla sino de una guerra pjróxima. Se asegura que no serán despedidos ahora, tan pronto como es de costumbre, los reclutas que se han reunido para hacer los egercicios militares en la estácion del verano. En nues tros arsenales-i se ítr^baja tam…</t>
  </si>
  <si>
    <t>Tiamáyof, Ramón</t>
  </si>
  <si>
    <t>Ramón Tiamáyof</t>
  </si>
  <si>
    <t>…jfosef Gonza-^ lez1 y Aguilera , jr én Salamanca en casa 3é* D/Era-ncisco Prieto de Torre. * •El conde de CorkéV ó el hombre qUe°nó cBnoce el arte dé la ihtriga -.'traducido, por D. Ramón Tiamáyof. El autor de ésta obra se propuso -estríbií lín tratado de educación y de los sucesos del mundo para un joven, manifestando hasth1 la eviden cia que sin buenas costumbres en vano espera la sociedad virtudes que honren ál gé nero humano. Un tomo en 8.°: se hal…</t>
  </si>
  <si>
    <t>Tinajero, Felipe</t>
  </si>
  <si>
    <t>Felipe Tinajero</t>
  </si>
  <si>
    <t>…cabo del mis mo cuerpo Miguel Hernández, alférez de realistas D. Eugenio Torres, sargen tos Josef Guzman, Mariano Ríos , Josef Osorno, Hilario Godoy, Manuel Colín, y el voluntario D. Felipe Tinajero. ,, Dios guarde ávmd. muchos años.,S.'Luis de la Paz Junio 10 de 1818.=: Epitacio Sánchez. = Sr. teniente coronel y comandante D. Josef Cristóbal Villaseñor.” Cádiz 30 de Diciembre. El Real consulado de esta plaza bien persuadido de los grandes y exten sos co…</t>
  </si>
  <si>
    <t>To</t>
  </si>
  <si>
    <t>…í perjuicio qjue haya lugar. Por la audiencia del Sr. 1&gt;. Manuel Josef dé Rubio, del Consejo de S. M., te niente de corregidor de esta muy heroica villa, y escribanía de humero dé D. To mas María Manrique, se vende úna tierra de siete fanegas y tres celemines donde djicen Valdeiisilios, término y jurisdicción dé la villa del Casar de. Xalamanca, reta sada últimamente en 6525 rs. vn. Quien quisiere hacer postura acuda á verificarla ante dicho…</t>
  </si>
  <si>
    <t>…ica de administración y gobierno de las encomiendas vacantes de la orden de S. Juan de Jerusalen por el apoderado y arrendador principal de las encomiendas de Archena y Calaspárra D. To mas Amatller, y por reclamación del médico director de los baños de Arche na D Juan Alix, del menoscabo que habían sufrido en su cantidad las salu dables aguas minerales de aquellos baños medicinales, á causa de las filtracio nes que se experimentaban por las…</t>
  </si>
  <si>
    <t>…dríguez Llamas, para que acudan en el citado término por el juzgado del Sr. D. Angel Fernandez de Jos Ríos, teniente corregidor de esta muy heroica villa y escribanía numeraria de D. To mas de Sancha y Prado á usar de su derecho en forma, pues pasado se procederá á lo que haya lugar. xSe venden diferentes fincas situadas en el lugar de las Rozas y su término, á sa ber: una tercera parte de un sitió linde con pajar de D. Julián López de Riaza…</t>
  </si>
  <si>
    <t>Toares, Gerónimo</t>
  </si>
  <si>
    <t>Gerónimo Toares</t>
  </si>
  <si>
    <t>…mismo Antonio Santiago; cuyos individuos, desde el dicho te niente inclusive, los recomiendo á V. S. muy particularmente. También re comiendo á V. S. al segundo capitán de la Mora D. Gerónimo Toares, aL contramaestre de la dicha Domingo Henifique , quienes contribuyeron á la. ^nayor parte del apresamiento de las dos flecheras y abordaron á la Morar asimismo recomiendo al artillero de mar Antonio Díaz, que se portó con ei mayor valor y entusiasmo en favor…</t>
  </si>
  <si>
    <t>Toir</t>
  </si>
  <si>
    <t>…la audiencia de dicho señor y citada escribanía. ' Quien q asiere comprar la famosa pife; 4$: lapa íinn lepnesa titulada Ondate^Oi, propia de la testamentaría judicial del difunto D. Toir^s Sacristán y Cutero, vecino que fue dé la ciudád de Segovía í del corte próximo, que se veTificara en'el próximo mes de Mayo en el ranchó del lugar de Tres'Casas , legua y média^ inmediato a dicha ciudad, y dicha pila será como de unas 1400 arrobas poco mas…</t>
  </si>
  <si>
    <t>Toírá, Juan</t>
  </si>
  <si>
    <t>Juan Toírá</t>
  </si>
  <si>
    <t>r* 129 ,,Como nuestrás fuer'zas eran ihudio/imnores&gt; y estábamos dominados, teniendo á nuestra retaguardia el desfiladerp^del puente,,’:previne ai. tenientp coronel D. Juan Toírá , comandante - del segundo',de Numancia, ^ retirase con su batallón á situarse de este lado del rio. • . f ; ,, El enemigo, que observó este movimiento, creyó sacaralgún partido de él, y persuadiendo á su tropa que ja nuestra iba en retirada, cargaron con la…</t>
  </si>
  <si>
    <t>Toledo, Fernando Josef de</t>
  </si>
  <si>
    <t>Fernando Josef de Toledo</t>
  </si>
  <si>
    <t>*518 -cia de Valencia; y para dos del crimen de la audiencia de Extremadura, va cantes por promoción de D. Juan Modesto de la Mota á oidor del mismo tri bunal , y traslación de D. Fernando Josef de Toledo y el Corral á otra de igual clase de la de Valencia, á D. Vicente Fuster y á D. Vicente Lisa y las Balsas, también alcaides del crimen de la expresada audiencia de Valencia. Igualmente se ha dignado S. M. conceder á D. Tadeo Ignacio Gil, gober nador de la sal…</t>
  </si>
  <si>
    <t>Toledo, Luis Carrillo y</t>
  </si>
  <si>
    <t>Luis Carrillo y Toledo</t>
  </si>
  <si>
    <t>…ada un año, pagados de seis en seis meses, otorgada en 20 de Noviembre de 14 de Febrero de 1618 años ante ei escribano Francisco de Hita. ' * 1 -r Egecutoria ganada a pedimento de D. Luis Carrillo y Toledo su alcai de mayor, en el pleito que siguieron con Diego Pantoja, alcalde ordinario de Ja villa de Pinto, sobre el modo de hacer Jas elecciones de justicia, fecha 27 de Junio de 1597, refrendada por el escribano de Cámara D. Bartolomé Hurtado. - ' j-'--' } 4.0…</t>
  </si>
  <si>
    <t>Toledo, María Salazar Alvarez de</t>
  </si>
  <si>
    <t>María Salazar Alvarez de Toledo</t>
  </si>
  <si>
    <t>…marquesa viuda de S. Román Doña Mana Guadalupe Moneada de Fernandez de Córdoba; condesa de Balazote; condesa de Torres Cabreras; condesa de Sta. Ana; Doña Rosa Gastón de Apodaca; Doña María Salazar Alvarez de Toledo, y marquesa viuda de Váidecarzana. : • ; * Grandes cruces de Id orden Americana, .• v 1 El cardenal arzobispo de Toledo; D. Josef Sebastian de Goyeneche, obis po de Arequipa; D. Baltasar Hidalgo de Cisneros; D. Carlos Urrutia, capi tán general de Goatemala; e…</t>
  </si>
  <si>
    <t>Tolentino, Nicolás</t>
  </si>
  <si>
    <t>Nicolás Tolentino</t>
  </si>
  <si>
    <t>…áfidék;T^3préittll«kP..e^é'pítofeor- y '^sus alumnos Pedro Guerrero, í&gt;.: JoSef"Máffinéz , 'Pedro Juan Tinarés , Ra’feel Garndo J DIonisio Alcázar ,Pedrb Pagalaz y Juan Fernandez. D. Nicolás Tolentino .Sandkez, profesor 1 1 r* . * i -, • * . . .. cuela Dv Fííetoyji mano del séñdr -intendente hiédáltó dé Aplata yliforosde sii despectiva éhtfeñaaza. JErt lá ésc'úéíadédibujo sedióct rtítúkj’déí-sóéio fáitímno rá D. Júáp Bautista Ramiro, y la bbr'a DiGcibnarib…</t>
  </si>
  <si>
    <t>Tolrrá, Juan</t>
  </si>
  <si>
    <t>Juan Tolrrá</t>
  </si>
  <si>
    <t>…de ello debo recomendar á V. E. encarecidamente al bizarro D. Juan Bautista'Reyes, á ios heridos ca pitán D. Benito Eernandez y subteniente D. Ángel Fiorez ; al teniente coro nel D. Juan Tolrrá, que por cubrir el servicio de: aquel dia se halló en van guardia, y sostuvo lo. mas fuerte de la acción; al teniente coronel, comandante del primero del Rey, D. Nicolás López, que Fue fuertemente contuso ; al gefe del estado mayor teniente coronel D. Sebasti…</t>
  </si>
  <si>
    <t>Tomas</t>
  </si>
  <si>
    <t>…de Clarines D. Josef María Mendez y 2 soldados de las Milicias de Carupano, 2 soldados y el subteniente de las de Rio Carives D. Juan An tonio Fernandez , y 6 soldados.” 2.0 ,, El brigadier D. Tomas deCires, gobernador de la provincia de Cu,maná, y comandante general de la cuarta división, con fecha de i.° del ac tual me dice lo siguiente: Exorna. Sr.: Informado por la correspondencia que se tomó al enemigo, y que original pasé á V. E de sus planes de at…</t>
  </si>
  <si>
    <t>…isis de las aguas del baño mineral del Horcajo, si tuado en el: térihino de esta ciudad , que de orden de la sociedad han egecu-takló químicamente'y con el mayor esmero los socios D. Tomas y D. Matías -Sánchez, profesores de farmacia, del que ha resultado el conocimiento de las sustancias medicinales que encierra. Asimismo se habló de la importante me moria que sobre el mal del melazo que padecen los olivos ha compuesto Don íJuan María rAivárez de Sotomayo…</t>
  </si>
  <si>
    <t>Tomas, Vicente</t>
  </si>
  <si>
    <t>Vicente Tomas</t>
  </si>
  <si>
    <t>…tular de la ciudad de Calatayud, y á D. pomi ngo Ramón García, vecino del lugar de Celtegos, en la provincia de Lugo. Por otra de&lt;6 dél mismo se ha servido conceder igual gracia á D. Vicente Tomas, vecinoxie la ciudad de Tarragona: á D. Josef Casalins, cirujano de la villa de Valls, en el principado de Cataluña: á D. Mauro del .Prado, re sidente en la ciudad de León: á D. Francisco Romero,, cirujano del mteblo de Castejon de las Armas, en el reino de A…</t>
  </si>
  <si>
    <t>Tooar, Dorotea</t>
  </si>
  <si>
    <t>Dorotea Tooar</t>
  </si>
  <si>
    <t>…r distinción que se hallan, actualmente tomando ios baños, lasque lo verificaron después de ha berle hecho una arenga expresiva y análoga á las circunstancias, á nombré de todas , Doña Dorotea Tooar. de Biake, muger del capitán general del mismo apellido. En los diferentes dias en que S. M; ha concurrido á tomar los baños, ha dado siempre repetidas pruebas del carácter benéfico que tan particularmente le distingue, socorriendo al necesitado, consolando a…</t>
  </si>
  <si>
    <t>Tor, Juan Lozano de</t>
  </si>
  <si>
    <t>Juan Lozano de Tor</t>
  </si>
  <si>
    <t>…sideración y regocijo á cuantos tuvieron la satisfacción de disfrutar, de su Real, presencia. Madrid 14 de Junio. ARTICULO DE OFICIO. El Rey nuestro Señor se ha servido dirigir al Sr. D. Juan Lozano de Tor res, Secretario de Estado y del Despacho de Gracia y Justicia, con fecha de 12 del corriente, el Real decreto siguiente: :t, v l ,, No teniendo á bien que el marques de Casá-Irujo, mi Secretario inte rino de Estado y del Despacho, continúe por mas tiempo en e…</t>
  </si>
  <si>
    <t>Toran, Francisco Rico y</t>
  </si>
  <si>
    <t>Francisco Rico y Toran</t>
  </si>
  <si>
    <t>…e la Palma , en la ría del Ferrol, á D. Bonifacio Fernandez, subteniente graduado de teniente del regi miento infantería de Jaén; y la segunda ayudantía de la plaza de Peñíscola á D. Francisco Rico y Toran, ayudante primero de Ja de Melilla. En América. La presidencia y comandancia general del Cuzco, en el rei no del Perú, al mariscal de campo Melchor Almene: la comandancia del ¿astillo de S. Felipe del Golfo, en el reino de Goatemala, al coronel D. An tonio de…</t>
  </si>
  <si>
    <t>Torcuato</t>
  </si>
  <si>
    <t>…u Consejo supremo en todas las escuelas del reino. Cuaderno en rústica de 19 muestras, estampado en fino, á 18 rs.rr: Colección de muestras de letra bastarda, escrita por el mismo D. Torcuato en 16 muestras apaisadas en 4°, á 8 rs. y 5 cuartos el cuaderno en rústica, y á 5 cuartos cada muestra suelta.rrrOtra colección de muestras, .también de letra bastarda, escrita en 10 muestras de á folio por el mismo, y arreglada para las escuelas á sus tratad…</t>
  </si>
  <si>
    <t>Tordera, Domingo María</t>
  </si>
  <si>
    <t>Domingo María Tordera</t>
  </si>
  <si>
    <t>…, seguida de los capellanes de honor D. Gines de Moya, que hacia las funciones de cura del Real palacio, D. Ramón Aguiriano, que hacia las de maestro de ceremonias, D. Blas-Prats, D. Domingo María Tordera, D. Antonio Bermejo, D. Tibureio Saez, D. Leandro Alvarez, D. Luis Ramírez Mon sal ve, D. Agustín de la Rica * D. Julián Arrea, D. Antonio Ramírez de Arellano y D. Pedro Gil; después de haber cantado nuevamente solemnes responsos la Real capilla, presidida po…</t>
  </si>
  <si>
    <t>Toríbio, Bartolomé Domínguez</t>
  </si>
  <si>
    <t>Bartolomé Domínguez Toríbio</t>
  </si>
  <si>
    <t>…y él clamor de las campanas, todo excitaba la mayor cons ternación: con la magestad debida se cantó la vigilia y celebró el santo sacri ficio de la misa, que ofició el beneficiado D. Bartolomé Domínguez Toríbio, y concluido el oficio dijó la oración fúnebre el R. P. Fr. Juan González Ra mos, ex-guardian del convento de - religiosos franciscos de’nuestra Señora dé la Rabida, manifestando las esclarecidas virtudes de nuestra amada Soberana,' y los justos motivos que h…</t>
  </si>
  <si>
    <t>Torio</t>
  </si>
  <si>
    <t>…á Jacinto Asenjo, que leyó con propiedad tanto en prosa aunó en verso; el de escritura á Ramón Sanmartín , que presenil) una hermosa colección de planas escritas por el método del Sr. Torio, y trazó sobre el encer do ia cuadrícula del mismo autor; e! de aritmética á Juan Josef O varzun , que hizo clara demostración de la teórica de este arte; el de gramática castel.ana a Juan Miguel Sarasa, el cual , después de haber explicado con sus compañeros…</t>
  </si>
  <si>
    <t>Torio, Torcuato</t>
  </si>
  <si>
    <t>Torcuato Torio</t>
  </si>
  <si>
    <t>…o: á continuacjon leyeron varios trozos que en prosa se les señalaron; y se concluyó el acto presentando y analizando las planas de dichos niños, imitando el ca rácter bastardo de D. Torcuato Torio de la Riva. El examen mereció un com pleto aplauso de todo el publico; confesando este el grande adelantamiento de los niños; y por ser uno de los primeros exámenes que en la provincia de la Mancha sé ha practicado de esta naturaleza, se ha condecorado á los…</t>
  </si>
  <si>
    <t>…gado por una vez para socorro de ios pueblos afligi dos con ella: Número i.° D. Ignacio Abadía 1600 rs. vn. Núm. 2° D. N. 500. Nú mero v° D. Francisco íernandez Vega 120. Núm. 4.0 D. Torcuato Torio de la Riva 300. Núm. 5.0 Doña N. 40. Núm. 6° D. N. 121 rs. y 22 mrs. Núm. 7.0 D. M. Z. 320. Núm. B.° D. N.112. Núm. 9;° D N. 320 rs. y 24 mrs. Núm. 10. D. N. 100. Núm. n. D. Josef Valls de Roca 200. Nú mero 12. Doña N., viuda, 20. Núm. 13. D. N. 100. Núm: i4.…</t>
  </si>
  <si>
    <t>…l Josef García de la Madrid, donde manifestarán las tasaciones, y darán las instrucciones necesarias. J Colección demuestras de letra bastarda, inglesa, italiana &amp;c. , escrita por Don Torcuato Torio de la Riva, conforme á su arte de escribir por reglas y con mues tras, mandado establecer de orden de S. M. y de su Consejo supremo en todas las escuelas del reino. Cuaderno en rústica de 19 muestras, estampado en fino, á 18 rs.rr: Colección de muestras de le…</t>
  </si>
  <si>
    <t>Tornos, Juan Antonio de</t>
  </si>
  <si>
    <t>Juan Antonio de Tornos</t>
  </si>
  <si>
    <t>…ico de Cámara D Vicente Martínez, se ha servido concederle los honores del supremo Consejo de Hacienda. S. M se ha dignado dar su Real permiso al brigadier de los Reales egércitos D. Juan Antonio de Tornos para que pueda ucar la condecoración de la flor de Lis con que $. M. Cristianísima je ha honrado por su decidida adhe sión á la casa reinante.</t>
  </si>
  <si>
    <t>Torr, Miguel</t>
  </si>
  <si>
    <t>Miguel Torr</t>
  </si>
  <si>
    <t>474 ESPAÑA. ; México 12 de Noviembre. Continuación de los partes de Nueva-España. Oficio del teniente coronel y comandante D. Miguel Torr es. ,,Excmo. Sr.: Diríja á manos de V. E. la adjunta relación que manifies ta los individuos presentados á gozar de la-Real gracia del indulto en el par tido de Tejupilco, siendo ocho los que habían tomado parte activa en las ga villas de los rebeldes, y 2250…</t>
  </si>
  <si>
    <t>Torralba, Hilario</t>
  </si>
  <si>
    <t>Hilario Torralba</t>
  </si>
  <si>
    <t>…tes D. Migue! Rubio y D. Nico lás Baronesi, y el abanderado D. Leonardo del Valle. También son acreedo res á la estimador, de V. E. ei espitan comandante del cantón de Chaguaramal D. Hilario Torralba, y los capitanes D. Julián Matos y D. Josef Ga briel Hernández , como también el bizarro capitán comandante de las mili cias de S. Mateo D. Francisco Guarnan, y el teniente de dicho cuerpo Don AntonioZambrano. Juzgo merecedores á las gracias de V. E. á los sa…</t>
  </si>
  <si>
    <t>Torralba, Josef Remigio del Toril y</t>
  </si>
  <si>
    <t>Josef Remigio del Toril y Torralba</t>
  </si>
  <si>
    <t>…. 186. León Ponce 20. Núm. 187. D. D. G. y P. 20. Asimismo se han suscrito los señores siguientes: Núm. 21. D. Pedro Goosens , durante la epidemia ,con 200 rs. mensuales. Núm. 22. D. Josef Remigio del Toril y Torralba, por idem, con 20 idem. Núm. 23. Doña M. C. S., por idem , con 60 idem. Num. 24. D. TadeoSan-</t>
  </si>
  <si>
    <t>Torrecilla, Antonio</t>
  </si>
  <si>
    <t>Antonio Torrecilla</t>
  </si>
  <si>
    <t>…esjGerKraly Pasión. de ésta corte, procura es timular-á los practicantesdae estos¡.establecimientos que asisten: al teatro de anatomía que está á cargo/dél;catedj*átic&lt;&gt; porrS, M. D. Antonio Torrecilla &gt;* y D. Juan ce Azaola, cirujano de número de dichos hbspi tales ¿;su; demostrador y maestre, ofreciendo todos'ló^añbá'coátro pr.ámidsj dos] de 5? pesos y dos de ¿ 3 5, á ios que sóbEresálgánimasténnlatOposición¿queíse jiacé á;fo$: mención nados premips. 1 Se…</t>
  </si>
  <si>
    <t>Torrecilla, Francisco</t>
  </si>
  <si>
    <t>Francisco Torrecilla</t>
  </si>
  <si>
    <t>…tinguido.; , Madrid 26 de Febrero. ARTICULO DE -047 ICIO. &lt; Por Real resolución de 25 de Enero último, á consulta del Consejo su premo de la^Guerra, se ha servido S; M. conceder á D. Francisco Torrecilla, -practicante.1 segpnadoíde. cirugía que fueien la última campaña, y residente en</t>
  </si>
  <si>
    <t>Torrejon, Anastasio</t>
  </si>
  <si>
    <t>Anastasio Torrejon</t>
  </si>
  <si>
    <t>…condu-í cido en esta vez con la bizarría que acostumbran; pero faltaría á mi deber si no hieiése una particular recomendación de los tenientes' D- Manuel Mora, y ¿api tan graduado D. Anastasio Torrejon , y sargento de realistas de A pan MaCedonio Chaves , á quienes la suerte les ha proporcionado^manifestar su intre pidez y buena disposición; siendo por tantó acreedores á la consideración de vmd,, en que me intereso en obsequio de la justicia. ,,Díos guarde…</t>
  </si>
  <si>
    <t>Torrejon, Átanasio</t>
  </si>
  <si>
    <t>Átanasio Torrejon</t>
  </si>
  <si>
    <t>…bardía dividí en dos partidas 25 dragoneé que tenia entonces, la una á las ordenes del bizarro teniente de dragones de Moneada D. Manuel Mora,.y la otra á las del capitán graduado D. Átanasio Torrejon, teniente de realistas de Apan, y les mandé cargar á la arma blanca, flanqueándolos por derecha é izquier da. Éste movimiento, y verme á mí avanzar por el frente con los pocos que iban reuniendo, los puso en desorden y precipitada fuga, y abandonando s caball…</t>
  </si>
  <si>
    <t>Torres', Hilario</t>
  </si>
  <si>
    <t>Hilario Torres'</t>
  </si>
  <si>
    <t>…ualidad ensayándolos con gran -provecho , y cuyp testimonio confirma mas y mas las observaciones anteriores. Posteriormente ha puesto en práctica el uso de la ckinhtiyiha :eL Sr.’ D. Hilario Torres', médico del Réy&lt;: nuestro Señor, y asegura deber á esta raiz la curación de alguna fiebre intermi tente &gt;qüe ha tráf? tado. Dicha raiz se encuentra en la botica del licenciado D. Antonio Ruizr, ea la calle deí Mesón .de Paredes, -esquina á la de la Encpn&gt;iend…</t>
  </si>
  <si>
    <t>Torres, Andrés de</t>
  </si>
  <si>
    <t>Andrés de Torres</t>
  </si>
  <si>
    <t>…ón de otro, comparezca ante dicho señor juez por la escri banía del numero de D. Claudio Sanz á decir y exponer io que á su derecho conven ga en el juicio promovido á instancia de D. Andrés de Torres, vecino de esta corte, sobre pertenencia de dos vales Reales de á óoo pesos cada uno, creación de x.° d« Setiembre de 1808, señalados con los números 13349 y 140023, los cuales se re tuvieron en la oficina de Renovación al tiempo de su presentación en ella po…</t>
  </si>
  <si>
    <t>Torres, Eugenio</t>
  </si>
  <si>
    <t>Eugenio Torres</t>
  </si>
  <si>
    <t>…illa de infantería á cargo del bizarro subteniente de Zaragoza D. Bartolomé Roselló, y dos de caballería, al de los alféreces de Sierragorda D. Dionisio Esquivel y el de realistas D. Eugenio Torres, para que ios tirotearan en la posición que habían ocupado. Luego que vieron sepa radas las guerrillas de la columna volvieron á repetir otra carga con tsnta te nacidad que se mezclaron con ellas al sable; pero habiendo sido auxiliadas por el resto de la fuer…</t>
  </si>
  <si>
    <t>…. Manuel de Lara-y subteniente D. Bartolomé Roselló, el alférez de dragones de Sierragorda D. Dionisio Esquível, y el cabo del mis mo cuerpo Miguel Hernández, alférez de realistas D. Eugenio Torres, sargen tos Josef Guzman, Mariano Ríos , Josef Osorno, Hilario Godoy, Manuel Colín, y el voluntario D. Felipe Tinajero. ,, Dios guarde ávmd. muchos años.,S.'Luis de la Paz Junio 10 de 1818.=: Epitacio Sánchez. = Sr. teniente coronel y comandante D. Josef Cris…</t>
  </si>
  <si>
    <t>…ió tan á mi sa tisfacción que no dejó nada que desear: al capitán de realistas D. Agustín de Hotpasitas, á D. Dámaso CarvajaL,. al bizarro alférez de la compañía de Tepegi del Rio D. Eugenio Torres, al de igual clase D. Andrés Perez , al valiente sargento de la compañía de realistas de Chapa de Mota Josef Angel Guzman, y á los de igual clase Josef Osornio, Mariano del Rio y Manuel Co lín; á los cabos lgnacio Peña, Ignacio Lugo y Josef María Martínez, al…</t>
  </si>
  <si>
    <t>Torres, Francisco Xavier Éscovar y</t>
  </si>
  <si>
    <t>Francisco Xavier Éscovar y Torres</t>
  </si>
  <si>
    <t>…de provincia, en favor- de Pedro Gil de Paules, vecino de estacorte, de unas casas que están en la plazuela de la villa de Torrejori.de Veí&amp;sco, &gt;. ;. 6.° Un legajo de papeles de D. Francisco Xavier Éscovar y Torres,, ve-? ciño dé la ciudad de Segoviá, para el pleito que sigue Doña Luisa María Flo res Chaves y D. Franco Ulloa Flores su hijo, vecino de la villa de Cáce-*&gt; res, sobre la sücesion y propiedad de los mayorazgos fundados por D. Juan de Hinojosa y Doña Teresa C…</t>
  </si>
  <si>
    <t>Torres, Josef</t>
  </si>
  <si>
    <t>Josef Torres</t>
  </si>
  <si>
    <t>…María Pernálete; al de igual clase Antonio Amores, y á los dragones Josef Ortiz, Manuel'Paredes, Joséf Tovar, Pedro García , Juan Barretó y Miguel Laya, como igualmente al adicto D. Josef Torres, que me dia acompañado en esta acción con un valor nada común, y á toda prueba. Dios guarde á S. muchos años. Campamento de Caño Bravo y Diciembre 15 de 1818. = Anto nio Gómez. = Sr. comandante general de la quinta división D. Sebastian de la Calzada. = Es co…</t>
  </si>
  <si>
    <t>Torres, Josef de</t>
  </si>
  <si>
    <t>Josef de Torres</t>
  </si>
  <si>
    <t>1170 ; mez, con particularidad la del teniente del batallón de Barnía, adicto al es tado ma^or D. Josef de Torres, quien habiendo llevado una ordenmia siguió con mi permiso comunicando las que le díó Gómez, y manifestó todo el valor propio de un excelente oficial; por lo que le considero muy digno de alguna gracia. Nuestra pérdida ha consistido en dos caballos muertos. L…</t>
  </si>
  <si>
    <t>Torres, Juan Éstéban Lozano de</t>
  </si>
  <si>
    <t>Juan Éstéban Lozano de Torres</t>
  </si>
  <si>
    <t>…campo que le rodean; y por la noche ha asistido S. A. á la ópera. Madrid 24 de Mayo. A R T I C V I O D -B- ;QJPCT O. Con fecha 14 de Marzo próximo pasado se comunicó por el Excmo. Señor D. Juan Éstéban Lozano de Torres ¿Secretario de Estada y del despacho universal de Gracia y Justicia* de España é Indias, al Excmo. Sr. duque de Montemar, consejero de Estado, la Real orden siguiente*.. ,, Excmo. Sr.: Por Reaí decreto que el Rey nuestro Señor se dignó diri girme con fecha de…</t>
  </si>
  <si>
    <t>Torres, Juan Esteban Lozano de</t>
  </si>
  <si>
    <t>Juan Esteban Lozano de Torres</t>
  </si>
  <si>
    <t>…ndo.” 1 El Rey nuestro Señor se ha.servido dirigir con fecha de hoy i.° de No viembre al Sr. Duque de S. Fernando el Real decreto siguiente: ,, Atendiendoá la quebrantada salud de D. Juan Esteban Lozano de Torres, mi secretario de Estado y del Despacho de Gracia y Justicia, y á los méritos y buenos servicios que ha contraído durante el tiempo que ha desempeñado el miníste-. rio; he venido en exonerarle de este encargo con todo su sueldo, para que pueda verificar su're…</t>
  </si>
  <si>
    <t>Torres, Juan Lozano de</t>
  </si>
  <si>
    <t>Juan Lozano de Torres</t>
  </si>
  <si>
    <t>…ío, mayor Jomo mayor del Sr. Infante D. Francisco; y la gran cruz de San Fernando y del Mérito al teniente general conde de Casa-Sarria. Circular del Consejo Real. . Por el Excmo. Sr. D. Juan Lozano de Torres, secretario de Estado y del Despacho de Gracia y Justicia, se ha comunicado al Consejo con fecha 8 de este mes por medio del Excmo. Sr. duque dél Infantado, su presidente, la Real órdén que dice asi: „ Excmo. Sr.: Enterado el Rey nuestro Señor de las excüsas,…</t>
  </si>
  <si>
    <t>…ia, graduándose hasta 100 el número de muer tos diarios. En Trípoli hácia fines de Marzo no había novedad especial, en el estado de su salud. Por Real orden que comunicó el Excmo. Sr. D. Juan Lozano de Torres, * secretario de Estado y del Despacho universal de Gracia y Justicia de España ó Indias al Excmo.'Sr. duque del Infantado , presidente del Consejo Reaí^ con fecha i.° de Febrero de este año, se sirvió el Rey nuestro Señor man dar que á D. Domingo María de Ta…</t>
  </si>
  <si>
    <t>…áraf sü cumplimiento; Señalado de la Real -manó ¡de S. M. == Én Palacio á 'dé Junio dé iSí^í^Á D. Josef María de1 ALlós¿” v, , h: CirculaT ¿oÍ Consejo. Real, , l&gt; ‘'j" r El Excmo. Sr. D. Juan Lozano de Torres, Secretario de Estado y del Despacho de Gracia y Justicia, comunicó al Consejo por medio del Excelen tísimo Sr. duque del Infantado, su presidente, con fecha 3 :'de Diciembre de r8¿;7,' la Real órden siguiente: i - í 1 I: 1 ' i '.r :'í&gt; ! m Jt Excmo. Sr.: Con…</t>
  </si>
  <si>
    <t>…ramo de grande impor tancia para la cria de ganados, que es la que constituye la principal riqueza de la provincia» ' Madrid 23 de Agosto. A R T I C U L O D B O F I C I O. Por el Sr. D. Juan Lozano de Torres, Secretario de Estado y del Desp|~^ cho de Gracia y Justicia, se ha comunicado al ayuntamiento de esta mu§g¡ heroica villa por medio de su corregidor , con fecha 27 de Julio último, la Real orden que dice asi: j, Conformándose el Rey nuestro Señor con lo expu…</t>
  </si>
  <si>
    <t>Torres, Manuel</t>
  </si>
  <si>
    <t>Manuel Torres</t>
  </si>
  <si>
    <t>…anifestó al retirarnos á nuestro campo. „ En.este día la indicada sección de Huatusco tuvo herido de alguna con* sideración ahalférez graduado de teniente de dragones del Príncipe D. Manuel Torres, y gravemente al cabo primero de Asturias Antonio Merás, digno del mayor elogio por su valor é intrepidez. También lo es el expresado Torres, pues á pesar de su herida siguió dirigiendo su tropa hasta concluir el fuegoJ’</t>
  </si>
  <si>
    <t>Torres, Manuel María de</t>
  </si>
  <si>
    <t>Manuel María de Torres</t>
  </si>
  <si>
    <t>…centado hr fluxión con que salí de esa ciudad , no asistí personalmente á mandar la acción. ,,Dios guarde á V. S. muchos años. S. Felipe 17 de Mayo de 1818.= Gregorio de Arana=Sr. brigadier D. Manuel María de Torres^” 2.0 Del coronel y comandante general de Valladolíd D. Matías Martin, y Aguirre. „ Excmo. Sr.: El comandante militar de Pátzcuaro teniente coronel Don Juan Amador me dice con fecha 13 del corriente que el de igual clase Don Miguel Barragan en su élíima corre…</t>
  </si>
  <si>
    <t>Torres, María Sánchez de</t>
  </si>
  <si>
    <t>María Sánchez de Torres</t>
  </si>
  <si>
    <t>…da del sargento primero de las milicias de Cumaná D. Lorenzo Xtmenez1, muerto en la acción de guerra tenida enMaturin. en 25 de Mayo del año de 13 , la pensión de 3 rs. diarios. A Doña María Sánchez de Torres, vecina fie Cumaná, y viuda de D. Gaspar Antonio Ballenilla, fusilado de orden del insurgente Marino, que lo aprisionó el 30 dé Julio de i8í8 Kigual pensiou.</t>
  </si>
  <si>
    <t>Tortosa, Bernardo</t>
  </si>
  <si>
    <t>Bernardo Tortosa</t>
  </si>
  <si>
    <t>…línea bajo la denominación de Borbon , la que le fue encargada , y conferido en el mismo el mando de coronel en gefe. Sirvió interinamente, y por toda la ausencia del propietario D. Bernardo Tortosa, el mando de ia capitanía</t>
  </si>
  <si>
    <t>Tovalina, Cayetano Pilón y</t>
  </si>
  <si>
    <t>Cayetano Pilón y Tovalina</t>
  </si>
  <si>
    <t>…Barreda, D. Manuel Bustilíos y Barreda, D. Josef Bustillos y Barreda y D. Pedro Ponce y Riquelme. Con la de 8 de idem: D. Federico Vargas y Mathews, D. Francisco Vargas y Mathews, D. Cayetano Pilón y Tovalina, D. Calixto Paredes y Lardin, D. Josef Castellani y Ximenez , D- Francisco Nuñez y Pascual, D. Pedro Junquera y Velez, D. Josef Butrón y Butrón, Df Josef Rigada y ¡Llano y D. Esteban Hidalgo de Cisneros, . . ? Queriendo el Rey nuestro Señor recompensar los bu…</t>
  </si>
  <si>
    <t>Tovar, Juan</t>
  </si>
  <si>
    <t>Juan Tovar</t>
  </si>
  <si>
    <t>…coronel de los rebeldes Tarrasido; quedándo me la satisfacción que hasta la fecha solo tiene Chivilini 30 hombres de los dispersos que en partidas pequeñas ha podido reunir. „ El teniente D. Juan Tovar , con el subteniente D. Ramón Urrutía , lle vaba una guerrilla compuesta de 24 hombres de infantería y caballería , á quien mandé avanzar luego que avisté los enemigos; y al instante, siguiendo ai pri mero, al capitán D. Tomas Suero con su caballería de fiele…</t>
  </si>
  <si>
    <t>Trasvina, Manuel</t>
  </si>
  <si>
    <t>Manuel Trasvina</t>
  </si>
  <si>
    <t>…d , por limosnas. recibidasí d&amp;;sus^teli^esesi, 610. Nútn. 203. Du N. N. :6b. Núm, 204; B. J. M.dy:R*i&amp;QtrNS;m.?205. Doña 7N. y Doña -N. 2q. Núm. 206. D. J. G. X. 2oon Núm.' 2-67* D. Manuel Trasvina 2®. Núm. 208. Doña N. N. 4.0. Núm, 209K D. =A. A. de G. 200. Núm. 210. D.T. y maestro de obra prima, siis oficia les-y ribeteadora.} 140. Núm. 211. D. Francisco Perez 160. Núm.* 212. D. N. 60. Núm. 113. Don 7N. 20* Núm. 214. &gt;El señor cura, de S. Ginés de Mad…</t>
  </si>
  <si>
    <t>Travieso, Gregorio Aso</t>
  </si>
  <si>
    <t>Gregorio Aso Travieso</t>
  </si>
  <si>
    <t>…alvador Hidalgo y Sarria, D. Juan Labastida y Bustamante, D. Vicénfe MazeyLizknn de Cano Manuel, D. Cayetano Vivanco y Young, D Josef Avila y Miranda, Don Antonio Ibañez y Ortega, D. Gregorio Aso Travieso, D. Mariano Fernan dez Tejeiro, D Bartolomé ,Gil de Padilla, D. Francisco Ugarte y Epalza, D. Jo«ef Ibañez y Ortega, D. Joaquín Gutiérrez Peña, D. Fernando Guerra de la Vega y Callantes7, D. Josef Gómez y Quintana, D Manuel JLoigorrj y González, y el soldado…</t>
  </si>
  <si>
    <t>Travieso, Sebastian Aso</t>
  </si>
  <si>
    <t>Sebastian Aso Travieso</t>
  </si>
  <si>
    <t>…irugía médica de S. Carlos celebra la anual abertura ' de, sus estudios-el dia i.° de Octubre próximo á las 10 de su mañana con una oración inaugural, facultativa que leerá el Dr. D. Sebastian Aso Travieso , ca tedrático del mismo. ~ * i.V_ Los sugetos que pretendan matricularse deberán presentar en la decretaría de-dicho colegio, conforme á lo mandado por S- M. en los artículos 1.? y 3 del capítulo 14 dé las Reales ordenanzas, la partida de bautismo acompañada…</t>
  </si>
  <si>
    <t>…racia inapreciable que un Re* magnánimo y amante de las ciencias la había dispensado, poniendo á su frente por protector un personage tan augusto como bondadoso. En seguida el Dr. D. Sebastian Aso Travieso, catedrático de dicho establecimiento, leyó una oración inaugural facultativa sobre ia historia y progresos de la cirugía es pañola , cuyo discurso tuvo también el honor de dedicar al Sermo. Sr. Infan te, como una débil prueba del agradecimiento del colegio á…</t>
  </si>
  <si>
    <t>Trelíes, Francisco</t>
  </si>
  <si>
    <t>Francisco Trelíes</t>
  </si>
  <si>
    <t>…e León en 27 de Agosto'de 1691. 4.0 Papeles pertenecientes á D. Alonso González de la Mesguita- sobre ser vicios en la. Real armada. 5.0 Venta judicial que se despachó por el Sr. .alcalde D. Francisco Trelíes ante Juan Serrano Simón, escribano de provincia, en favor- de Pedro Gil de Paules, vecino de estacorte, de unas casas que están en la plazuela de la villa de Torrejori.de Veí&amp;sco, &gt;. ;. 6.° Un legajo de papeles de D. Francisco Xavier Éscovar y Torres,, ve-? c…</t>
  </si>
  <si>
    <t>Trento, Gerónimo</t>
  </si>
  <si>
    <t>Gerónimo Trento</t>
  </si>
  <si>
    <t>…iños que se experimenta en todas partes. Se hallará en la librería de Castillo, frente , á S. Felipe el Real: su precio 3 rs. Cuaresma , pláticas morales y panegíricos del jesuíta D. Gerónimo Trento, tra ducidos del toscano al español por D. Josef Marcos Gutiérrez , abogado de los Rea les Consejos: el mérito de dicha obra lo acredita su despacho ; está dividida en cuatro tomos, en pasta 64 rs. y en pergamino 48. Se halla venal, en la librería de Castillo…</t>
  </si>
  <si>
    <t>Trinan, Pascual de</t>
  </si>
  <si>
    <t>Pascual de Trinan</t>
  </si>
  <si>
    <t>763 . . ... ,. ESPAÑA. .. • • • j México ii de Febrero. Continuación de los partes de Nueva-España. VERA CRUZ. Oficio del comandante general mariscal de Campo D. Pascual de Trinan, „Excmo; Sr. :;E1 capítan D. Antonio . López Stg. Ana me pasa el parte que original tengo el honor de acompañar á V. E., por; el que se impondrá de haberse acogido á. la Real gracia deí indulto los tres cabecillas Manuel Sal vador, Félix González y Mariano Ce…</t>
  </si>
  <si>
    <t>Trintesmen</t>
  </si>
  <si>
    <t>…diatos. Entre varios'viagéros dé la misma nación que han cruzado éñ estos últimos'dias el pasó :de Caláis , y se dirigen á está corte, se “cuentan los. siguientes: lord RindJham ; lord Trintesmen, Pár delrlandá; M?r. Bulkéley, Par dé Inglaterra, y los señores-Tomiiwe y-Neale, individuos del Parlamento. Asimismo en Strasburgo es tal la concurrencia de extrangeros de distinción, según dice el periódico’ titulado Correo del departamento del Bajo ~ Rhiñ 3…</t>
  </si>
  <si>
    <t>Trouvé</t>
  </si>
  <si>
    <t>Moreau de Jonnes, corresponsal de la academia, ha ganado el premio de es* tadística que fundó un anónimo; y siente la academia nó haber tenido otro premio para ei barón Trouvé por la Estadística del departamento del Ande que ha escrito. La medalla fundada por Mr. Lalande para la observación astro nómica de mas importancia , ó la memoria mas útil sobre cualquier asunto de astronomía, que se haga ó se publique en el discurso de cada…</t>
  </si>
  <si>
    <t>Truguet</t>
  </si>
  <si>
    <t>…nde de Sussy, á nuestro primo el mariscal duque de Treviso, al marques de Talhuet, mariscal de campo, y coronel del 2.° regimiento de los granaderos de á caballo de la guardia, al conde Truguet, vice-almirante, al conde Verhucet, vice-almirante, al conde Lavillegontier. " - 2.0 ,, Queda expresamente derogado en favor de los Pares mencionados lo que dispone el artículo i.° de nuestro decreto de 25 de Agosto de 1817; y en su consecuencia asistirán inm…</t>
  </si>
  <si>
    <t>Trujillo, Ramón</t>
  </si>
  <si>
    <t>Ramón Trujillo</t>
  </si>
  <si>
    <t>…ruebas, tanto en el tiempo t e los estud ios que liarían tenidoen este. .establecimiento? como en los egerpicios de la ¿posición que acababan de desempeñar^ finalizando el acto el Sr. D. Ramón Trujillo, caled ráfifió'del citado colegio’, el -que , egerciendo Interin amen te íunciopes de bibliotecario -9, leyó Un erudito discurso en loor de los premlados, ¡mn nifes tan do los progresos que había hecho la cirugía, debidos por la mayor partea la mu nificencia…</t>
  </si>
  <si>
    <t>Tuesta, Esteban de</t>
  </si>
  <si>
    <t>Esteban de Tuesta</t>
  </si>
  <si>
    <t>…e terno seco en 3, 4,"5 y 6 números á reales. cabales, y la lista d® los ambos y temos, que componen ^ los 90 números. Obra aprobada por la Dirección general de la misma Renta por Don Esteban de Tuesta, administrador de Reales loterías. Se hallará en la librería .do Hurtado, calle de las Carretas, én él almacén de papel de Bueno, cálle del Carmen, y ¿n la administración de Reales loterías calle ancha dé S. Bernardo, á 3 rs. á la rústica y 6 en pasta. \ v EN…</t>
  </si>
  <si>
    <t>Tutor, Antero</t>
  </si>
  <si>
    <t>Antero Tutor</t>
  </si>
  <si>
    <t>…io de Olaeta. Gramática francesa, prime ro á D. Miguel de Mazarredo. Idem segundo á D. Francisco Semprun. Gra-* mática.latina, primero á D. Ladislao Pedro de Ochoa. Idem segundo á Don Antero Tutor. Matemáticas puras, primero á D. Bartolomé de Olaechea. Idem segundo á D. Isidro de Certucha. Idem tercero á D. Juan Bernardo de Uriarte. Segundo año: primero á D. Josef María de Aguirre; segundo á D. Carlos de Espinóla, y segundo idem á D. Juan Poéy. Geograf…</t>
  </si>
  <si>
    <t>Tuya, Antonio</t>
  </si>
  <si>
    <t>Antonio Tuya</t>
  </si>
  <si>
    <t>…agoza; D. Bernardo Vergara, capitán,, ayudante del general Lignan; D. Manuel Alvarez, capitán delTetúmíento 'deZaragoza; D.Manuel Lara, teniente de idem ; D. Manuel Soriano, idem; D. Antonio Tuya, idem; D. Ramón Soto, sargento mayor del regi miento de la Puebla; D.-Francisco de Paula Landa, idem del de dragones de S. Luis; D. Cristóbal Vjllaseñor, capitán del de Sierragorda; D. Juan Bada joz, capitán del regimiento i.° americano; D. Juan .-Arguelles,…</t>
  </si>
  <si>
    <t>Ubeda, Manuel Fortea y</t>
  </si>
  <si>
    <t>Manuel Fortea y Ubeda</t>
  </si>
  <si>
    <t>…. Pedro Marin, del comercio, y en Valencia á la librería de Navarro, advirtiendo que han de abonar los portes. ' Sermones predicados é impresos en la ciudad de Valencia por el Dr. D. Manuel Fortea y Ubeda, presbítero, y reimpresos ahora en Madrid. El del sepulcro de nuestro Redentor Jesucristo; el de la Virgen de los Desamparados por Ja venida de nuestro católico Monarca el Sr. D. Fernando vii desde su cautiverio al trono de sus mayor res; el de Sta. Catalina…</t>
  </si>
  <si>
    <t>Ubierna, Florentina Rodriguez de</t>
  </si>
  <si>
    <t>Florentina Rodriguez de Ubierna</t>
  </si>
  <si>
    <t>…Arismendi, contador que fue en Válencia, y en 1793 se halaba de alcalde mayor en Totepango, en Nueva-España y reino de México, que habiendo fallecido en dicho pueblo de Huermeces Doña Florentina Rodriguez de Ubierna sin ascendientes, se irá trasmitido y derivado en él ó sus hijos ¿orno á hijo mayor y nieto respective de D. Fernando Montero Tamayo y Velarde y Doña Josefa Rodriguez de Ubierna", administrador de Rentas que fue de la ciudad y provincia de Palencia, unos vín…</t>
  </si>
  <si>
    <t>Ugaldey, Juan Antonio de</t>
  </si>
  <si>
    <t>Juan Antonio de Ugaldey</t>
  </si>
  <si>
    <t>…tista Argués; • e,n Lérid 1 en 1a ide T¡&gt;:.'¡Antoíiip, Férrerí;. enjCervera. en la de D, .Josef Vicente. .Soler;en Gerona en la deí Dr. D. Narciso Viñas.; en Bilbao en la del fie. D. Juan Antonio de Ugaldey y en3^itoria en_la dejDr D. Cipriano María de Uribarri. _ ................... ... Fábulas de Fedro, libertó de Augusto, traducidas al castellano en verso y prosíXéqii el texto latino al lado, y la explicación de ios accidentes de cada palabra, á fin dé' facil…</t>
  </si>
  <si>
    <t>Ugarte, Francisco Toribio de</t>
  </si>
  <si>
    <t>Francisco Toribio de Ugarte</t>
  </si>
  <si>
    <t>…n 26,836 rs. Quien quisiere hacer postura acüdá ante dicho señor juez y citada escribanía ea el término de 30 dias, contados desde el 4 del corriente. En virtud de providencia del Sr. D. Francisco Toribio de Ugarte, del Consejo supremo de la Guerra, se cita, llama y emplaza á todas y cualesquiera personas que se contemplen con derecho á los bienes quedados con motivo del fallecimiento in testado del limo. Sr. D. Estéban Antonio de Orellana, ministro que fue del propio C…</t>
  </si>
  <si>
    <t>Ugarte, Pedro María de</t>
  </si>
  <si>
    <t>Pedro María de Ugarte</t>
  </si>
  <si>
    <t>…mariscal de campo D. Manuel Herek: el de la ciudadela de Barcelona J áí de igual cias^D.; Pedro de Grimarestí y el del castillo de S. Sebastian deda: plaza de Cádiz; al. teniente, coronel D. Pedro María de Ugarte , primer ayu dante del regimiento infantería de Zaragoza. ■ En Améri&lt;;ar. &gt; La capitanía general de la isla de Puerto-Rico al martscai de campo D. Miguel Jacon: el gobierno de la provincia de Sta. Marta , en* ei: nyev.o reino de Granada*, át coronel D. Latino…</t>
  </si>
  <si>
    <t>Ugena, Domingo</t>
  </si>
  <si>
    <t>Domingo Ugena</t>
  </si>
  <si>
    <t>…rlo les parará el perjuicio que haya lugar. Entretenimiento sobre las ciencias, escrito en francés por el R. P. Bernardo Lamí, presbítero del oratorio* traducidos é ilustrados por D. Domingo Ugena, presbítero. Esta obra presenta el plan mas recto y sencillo para estudiar las ciencias y servirse de ellas con utilidad pública: el nombre de su autor excusa su apología. Las universida des y cuerpos literarios de Europa la han adoptado por la mas elemental…</t>
  </si>
  <si>
    <t>UÍloa, Antonio Gutiérrez de</t>
  </si>
  <si>
    <t>Antonio Gutiérrez de UÍloa</t>
  </si>
  <si>
    <t>…támante, y el mariscal de campo D. Pascual Liñañ. Comendadores de la misma, D. Ignacio Adalid Gómez de Pedroso, vecino de México; D.JNicolas Pícoaga, coronel graduado de milicias; D. Antonio Gutiérrez de UÍloa, in tendente de Nueva-Galicia; D. Mariano Antonio de Novoa, coronel dé mi licias; el brigadier D. Sebastián de Ríndelan; id. D. Antonio'-María Alvareé; D. Ignacio Perez de Lente, oficjál dé la primera secretaría dé testado ; D. Josef Villar y Frontín, oficial…</t>
  </si>
  <si>
    <t>Ulano, XX Ciríaco de</t>
  </si>
  <si>
    <t>XX Ciríaco de Ulano</t>
  </si>
  <si>
    <t>…o llegara á serle sensible. ESPAÑA. Continuación de los partes de Nueva-España. México 13 de Mayo. . ' COMANDANCIA GENERAL DE PUEBLA Y VER ACRUZ. Oficio del brigadier y comandante general XX Ciríaco de Ulano. „ Excmo. Sr.: Acabo de recibir en este instante del teniente coronel Don Ignacio Amor el adjunto parte de la toma de la importante posición enemiga del Arenal, el que original ele\jo á W E. para su superior conocimiento y satisfacción , como lo haré con el p…</t>
  </si>
  <si>
    <t>Ulloa, Francisco Navas Garro de</t>
  </si>
  <si>
    <t>Francisco Navas Garro de Ulloa</t>
  </si>
  <si>
    <t>…ezuela y Heres, D. Juan Eiizaide y Royo, ,D. Diego Guerrero y Sedaño, D. Julián Velarde y Santillan, D. Josef Abev11a y Conde, D. Juan Teran y Caldera , D. Juan DFIerve y Paredes, Don Francisco Navas Garro de Ulloa, D. Antonio Solís y González, D. Julián Giraldo y Molina, D. Joaquín Muñoz y Larraiñzár ¿ D; Salvador Hidalgo y Sarria, D. Juan Labastida y Bustamante, D. Vicénfe MazeyLizknn de Cano Manuel, D. Cayetano Vivanco y Young, D Josef Avila y Miranda, Don Antonio Ib…</t>
  </si>
  <si>
    <t>Ungernsternberg</t>
  </si>
  <si>
    <t>4^4* cal de la provincia; barón Ungernsternberg, diputado del círculo, y Mr. de Buxhoerden, mariscal de la isla de Oesel. El teniente general Loewis, que llevaba la pa labra, dijo entre otras cosas lo siguiente s „Se nos ha encargado supliquemos á V. M. se digne confirmar la refor ma legislativa, que confo…</t>
  </si>
  <si>
    <t>Unza, Santiago Antonio de</t>
  </si>
  <si>
    <t>Santiago Antonio de Unza</t>
  </si>
  <si>
    <t>…han dado dos feligreses suyos, 10c. Núm. 65 Miguel Fernandez, aguador de S. M., 20. Núm. 66. D. B. D. 300. Núm. 67. D. Pedro Sedaño 200. Núm. 68 D. Cayetano Bautista 25. Núm. 69. Don Santiago Antonio de Unza 80. Núm. 70. D. A. E. 70. Núm. 71. D. Domin go Riesco 60, Núm. 72. El Excmo. Sr. D. Joaquín Blake ico. Núm. 73. Don M. B. 60. Núm. 74, D. N. C. 320. Núm. 75. D. J. M. 60. Núm. 76. Don J. S. 160. Núm. 77. D. N. C. 20. Núm. 78. í). Josef Ribera 3C0. Núm'. 79. L…</t>
  </si>
  <si>
    <t>Unzeta, Ignacio</t>
  </si>
  <si>
    <t>Ignacio Unzeta</t>
  </si>
  <si>
    <t>…y S. M. se ha servido mandar se le propon gan los premios á que se hayan hecho acreedores. El Rey nuestro Señor se ha servido conferir la tenencia de Rey de la pla za de Madrid al coronel D. Ignacio Unzeta, capitán del primer regimiento de Reales guardias de infantería; y ía sargentía mayor de la plaza de Palma, en Mallorca, al coronel D. Salvador Valencia, comandante del primer&gt; batallón del regimiento infantería del Príncipe. j » Y * • V * - - —______________…</t>
  </si>
  <si>
    <t>Urbina, Pedro Suarez de</t>
  </si>
  <si>
    <t>Pedro Suarez de Urbina</t>
  </si>
  <si>
    <t>…tomó posesión lo fue una hacienda de campo situada en la villa de Ümbrete, y por no acomodarle pretendió eragenarla, como lo hizo en pública subasta; y quedó rematada en favor de D. Pedro Suarez de Urbina éii la cantidad líquida.de 119,759 rs. 11 mrs. y un tercio de otro, de los cuales dicho Urbina había de entregar la mitad en el plazo de tres años, contados desde el dia 9 de Enero de 1798, y la otra quedaba impuesta sobre dicha finca, pagando por1 entrambas…</t>
  </si>
  <si>
    <t>Ureña, Hemererio</t>
  </si>
  <si>
    <t>Hemererio Ureña</t>
  </si>
  <si>
    <t>…do libre en teramente á Cumaná, cuya benemérita guarnición es d-igna de todo elogio. ,,Dios guarde á V. S. muchos años. Guaira 14 de Agosto de 1819.2= Ramón Correa. = Sr. teniente rey D. Hemererio Ureña.” Cádiz i.° de Noviembre. El estado de la salud publica continua mejorándose mucho en esta plaza y pueblos inmediatos, debiendo esperarse que pronto terminará en todos ellos la epidemia, ya por el tiempo que ha transcurrido desde que se padece, y ya también á…</t>
  </si>
  <si>
    <t>Uria, Juan Bernardo Quiroga y</t>
  </si>
  <si>
    <t>Juan Bernardo Quiroga y Uria</t>
  </si>
  <si>
    <t>…os . creación de i.° de Mayo de.1808, números 484831,446887, 435737 y 426601; que al tiempo y-cuando se presen taron á la renovación inmediata eran tales tenedores, del primero el Sr. D. Juan Bernardo Quiroga y Uria, dei segundo D. Juan Roca y Juan, del tercero D. Ro que Blanquer, y del cuarto y último Doña Josefa Cáceres, para que dentro del tér mino de 30 dias acudan ante el juzgado de dicho señor y escribanía del número del cargo de D. Pascual Secó, por medio de procu…</t>
  </si>
  <si>
    <t>Uriarte, Josefa Francisca Martínez de</t>
  </si>
  <si>
    <t>Josefa Francisca Martínez de Uriarte</t>
  </si>
  <si>
    <t>…os y el otro de 6, ambos de renta al año, con sus derechos de licencia, tanteo, veintena , sobre /unas casas cocheras nuevas en la,calle de los Abades de esta cor te , en favor de Doña Josefa Francisca Martínez de Uriarte, vecinos de esta corte, ante el escribano del numero Alfonso Jacinto Vecino, fecha 19 de Oc tubre de 1611. , . 12. . Papeles correspondientes á la prebenda que fundó en la parroquial de S. Sebastian de esta coarte D. Francisco de Araña Tauregui. * , ¿ * 13- E…</t>
  </si>
  <si>
    <t>Uriarte, Juan Antonio</t>
  </si>
  <si>
    <t>Juan Antonio Uriarte</t>
  </si>
  <si>
    <t>…11; 18,512; 20,661; 20,662; 20,664; 21,118; 21,123; 22,268; 22,586, y 22,702; cuya providencia fue dictada en 30 de Julio próximo pasado á consecuencia de reclamación deducida por D. Juan Antonio Uriarte, de este comercio, qúe ha manifestado los endosó á D. Lorenzo Malagamba, quien no contesta su recibo, en cuyo concepto no pueden haber entrado en circula-' cion sin. falsificarse la firma de este. Ensayo sobre la investigacion.de la naturaleza y causas de la…</t>
  </si>
  <si>
    <t>Uriarte, Juan Bernardo de</t>
  </si>
  <si>
    <t>Juan Bernardo de Uriarte</t>
  </si>
  <si>
    <t>…primero á D. Ladislao Pedro de Ochoa. Idem segundo á Don Antero Tutor. Matemáticas puras, primero á D. Bartolomé de Olaechea. Idem segundo á D. Isidro de Certucha. Idem tercero á D. Juan Bernardo de Uriarte. Segundo año: primero á D. Josef María de Aguirre; segundo á D. Carlos de Espinóla, y segundo idem á D. Juan Poéy. Geografía, primero i D. Juan Poéy. Estos premios consistian en 22 medallas de plata, que Ies fueron puestas por los señores alcalde y demas capi…</t>
  </si>
  <si>
    <t>Uribarri, Cipriano María de</t>
  </si>
  <si>
    <t>Cipriano María de Uribarri</t>
  </si>
  <si>
    <t>…p, Férrerí;. enjCervera. en la de D, .Josef Vicente. .Soler;en Gerona en la deí Dr. D. Narciso Viñas.; en Bilbao en la del fie. D. Juan Antonio de Ugaldey y en3^itoria en_la dejDr D. Cipriano María de Uribarri. _ ................... ... Fábulas de Fedro, libertó de Augusto, traducidas al castellano en verso y prosíXéqii el texto latino al lado, y la explicación de ios accidentes de cada palabra, á fin dé' facilitar sil itiféligenciá en el grado posible, por p. Rodr…</t>
  </si>
  <si>
    <t>Uribe, Luis</t>
  </si>
  <si>
    <t>Luis Uribe</t>
  </si>
  <si>
    <t>…primer medico de .Cámara de S.M., presidente de Iá Real .junta superior gubernativa de Medicina, individuo del supremo Consejo,de Hacienda &amp;c. &amp;c.', y. egercitaron los discípulos D. Luis Uribe, D. Genaro González, D. Pedro Lean dro Romero, D/ Joaquín Martiñ dé ÑkqláSV'EX Antoñló García Pozó, í&gt;on Vicente Losada y D. Pío Sanca. Sin embargo' dé quetodos lós-aspirantes á los referidos premios han excedido en laSpfúebás'tjúelháñ^dádó para lograr los la…</t>
  </si>
  <si>
    <t>Urquijo, Felipe de</t>
  </si>
  <si>
    <t>Felipe de Urquijo</t>
  </si>
  <si>
    <t>…rtes las oscilaciones, que se temió la ruina de 'os edificios; pero afortunadamente cesó el peligro sin haber ocurrido desgracia alguna de con sideración. Bilbao i $ de Noviembre. D. Felipe de Urquijo, presbítero , natural de esta villa, que desde la edad de 14 años hasta los 30 estuvo padeciendo de accidentes epilépticos, sin que estos cediesen á ningún plan curativo de los mas acreditados profesores, lo gró felizmente curarse por el siguiente método extr…</t>
  </si>
  <si>
    <t>Urquiola, Cosme</t>
  </si>
  <si>
    <t>Cosme Urquiola</t>
  </si>
  <si>
    <t>…de Rey de la plaza de Peñíscola á D, JoSef Bravo de Ariza, comandante agregado al regi miento de infantería de Aragón ; y el gobierno de Cuenca, en el Nuevo Rei no de Granada, al coronel D. Cosme Urquiola, gobernador» que era de) Presi :dio del Carmen. . ,3~.' ’ • \ . r ’V.'",''”-'’"*-*"';;"-r■ Relación de las cantidades que adelantaron en elañode\ 181 $ para cos tear el vestuario y equipr de las compañías de granaderos y cazadores del regimiento provincial de…</t>
  </si>
  <si>
    <t>Urraza, Juan Antonio de</t>
  </si>
  <si>
    <t>Juan Antonio de Urraza</t>
  </si>
  <si>
    <t>…Loeches. En virtud de providencia del señor teniente de corregidor de esta muy heroica villa D. Manuel Josef Rubio, su fecha 14 del corriente, refrendada del escribano del número D. Juan Antonio de Urraza, se cita» llama y emplaza á Doña Felipa de lambiera, para que en el preciso término de 30 dias acuda.á dicho juzgado por sí ó por medio de procurador, con poder bastante, á-decir y exponer lo que tuviese por conveniente en los autos formados a instancia de D.…</t>
  </si>
  <si>
    <t>…a y su muger Doña Joaquina Paredes, en 13 de Noviembre de 1798, para qué en el pre ciso término de 30 dias, contados desde 27 de Mayo, comparezcan ante dicho señor y escribanía de D. Juan Antonio de Urraza por sí ó por medio de procurador ,, con poder bastante, á decir y exponer lo que tengan por conveniente acerca de su dere cho y justicia; con apercibimiento de que pasado sin hacerlo se sustanciarán los autos en su ausencia y rebeldía en los estrados de la au…</t>
  </si>
  <si>
    <t>Urrejola, Luis</t>
  </si>
  <si>
    <t>Luis Urrejola</t>
  </si>
  <si>
    <t>…gobierno y capitanía general de Filipinas todo lo perte neciente á la Real. Hacienda de las mismas islas, y crear una intendencia en Manila, que ha tenido á bien S. M. conferir al coronel D. Luis Urrejola en consideración á su distinguido mérito y buenos servicios. A pedimento de los herederos de D. Josef Lorenzo Ortiz, vecino y del comer cio que fue de esta corte, y en virtud de providencia del señor alcaide de Cara y Corte D. Martin de Gaztañaga, refrendada…</t>
  </si>
  <si>
    <t>Urruela, Pablo</t>
  </si>
  <si>
    <t>Pablo Urruela</t>
  </si>
  <si>
    <t>…de V. M.” La ciudad de Alcalá de Henares, por medio de una diputación compuesta de su corregidor D. Joaquín de Zengotita Vengoa , del consejo de S. M.; Don Pedro Aldama, regidor; D. Pablo Urruela, procurador síndico general, y D. Esteban Azaña, secretario de su ayuntamiento, tuvo la honra de felicitar á S. M. el dia 12 de Noviembre; y dicho corregidor le arengó en los térmi nos siguientes: Señor : ,, Feliz aquella hora en que V. M. proyectó consolar á…</t>
  </si>
  <si>
    <t>Urrutia, Carlos</t>
  </si>
  <si>
    <t>Carlos Urrutia</t>
  </si>
  <si>
    <t>…rzana. : • ; * Grandes cruces de Id orden Americana, .• v 1 El cardenal arzobispo de Toledo; D. Josef Sebastian de Goyeneche, obis po de Arequipa; D. Baltasar Hidalgo de Cisneros; D. Carlos Urrutia, capi tán general de Goatemala; el teniente general D. Josef de Bustámante, y el mariscal de campo D. Pascual Liñañ. Comendadores de la misma, D. Ignacio Adalid Gómez de Pedroso, vecino de México; D.JNicolas Pícoaga, coronel graduado de milicias; D. Antonio G…</t>
  </si>
  <si>
    <t>Urrutía, Ramón</t>
  </si>
  <si>
    <t>Ramón Urrutía</t>
  </si>
  <si>
    <t>…me la satisfacción que hasta la fecha solo tiene Chivilini 30 hombres de los dispersos que en partidas pequeñas ha podido reunir. „ El teniente D. Juan Tovar , con el subteniente D. Ramón Urrutía , lle vaba una guerrilla compuesta de 24 hombres de infantería y caballería , á quien mandé avanzar luego que avisté los enemigos; y al instante, siguiendo ai pri mero, al capitán D. Tomas Suero con su caballería de fieles del Potosí., y al eapitan D. Josef R…</t>
  </si>
  <si>
    <t>Urue, Josef de</t>
  </si>
  <si>
    <t>Josef de Urue</t>
  </si>
  <si>
    <t>…N. C. 20. Núm. 78. í). Josef Ribera 3C0. Núm'. 79. Los Sres. N. S. 800. Núm. 80. D. V. R. 20. Núm, 81. D. J. F. 100. Nú mero 82. Doñá M. E. E. 300. Núm. 83. D. J. IX. 60. Núm. 84. D. Josef de Urue 4 Núm. 85. D. Gregorio Sánchez Madrid iox Núm. 86. D. Y. M. M. 100. Núm. 87. D. Francisco Antonio Bringas 2©. Núm. 88. D. C. R. 20. Núm. 89. D. Manuel Guerra 200. Núm, 90. D. I. de V. 160. Núm, 91* D N. 80. Núm. 92. D. J. M. 320. Núm. 93. D. M. T. 300. Núm. 9…</t>
  </si>
  <si>
    <t>Urzaiz, Angel</t>
  </si>
  <si>
    <t>Angel Urzaiz</t>
  </si>
  <si>
    <t>…e. Dióse principio por un discurso alusivo al objeto , que teyó el primer maestro director D. Cayetano Fernandez Villamil. Fueron examinados en aritmética D. Juan Josef Dayovich , D. Angel Urzaiz, D. Bartolomé Martine?, D. Juan Antonio Novo, D. Alejandro Rodríguez , D. Francisco Santos, D. Francisco Calderón y D. Antonio Blanco. E11 geometría elemental el dicho D. Bartolomé Martínez, D. Manuel Barbet, D. Mañuél Díaz,'O. Ramón Pepn , D. Josef Rodríguez…</t>
  </si>
  <si>
    <t>Utquijo, Rafael de</t>
  </si>
  <si>
    <t>Rafael de Utquijo</t>
  </si>
  <si>
    <t>…idas’que habían sido con vidadas de antemano. ;por el ayuntamiento. Esté se hallaba ya reunido en Ja sala capitular enlutada, presidido por el Excmo. Sr. D.Luis María Sálazar y su alcalde D. Rafael de Utquijo para recibir á todos, los convidados; y lue go que el venerable cabi Id ©llegó partieron ordenadamente á la iglesia matriz. Las paredes (estaban ^enlútaaas $ los altares ,vestidos de un aparato fúnebre, y -todos üusninadpr. i'Eq dai chave mayor y eii ¡medió d…</t>
  </si>
  <si>
    <t>V, A.</t>
  </si>
  <si>
    <t>A. V</t>
  </si>
  <si>
    <t>…. 100. Núm. 28. D. Francisco Lledias 200. Núm. 29. D. Do mingo Ortiz de Urbina 200. Núm. 30. D. R. A. 20. Núm. 31. D. N. 80. Núm. 32. D. Agustín Sanz, maestro sastre, 60. Núm. 33. D. A. V. 100.Nú mero 34. D. Ventura Fernandez loo. Núm. 35. D. Manuel Centurión320. Núm. 36. D. M. H. 1500. Núm. 37. D. A. A. 20. Asimismo se han suscrito para el mismo caritativo objeto los señores si guientes: ! ; Número i.° D. Torcuato Torio de la Riva, durante la…</t>
  </si>
  <si>
    <t>V, Antonio</t>
  </si>
  <si>
    <t>Antonio V</t>
  </si>
  <si>
    <t>…arto de realistas de Apan, el primero de dragones de Moneada, y el tercero de infantería de Valladclid. Merecen igual recomendación los, tenientes y alférez de dragones de Moneada D. Antonio V idilio., D. Juan Madrid y D. Antonio Gelati.” „ Y lo porgo en noticia de V. E. para su superior conocimiento, reco mendando el zelo y actividad de este bizarro gefe y á los oficiales que men ciona. ~ ,,Dios guarde á V. E. muchos años. Valladolid Agosto 30 de…</t>
  </si>
  <si>
    <t>V, Antonio'de Linares.’’</t>
  </si>
  <si>
    <t>Antonio'de Linares.’’ V</t>
  </si>
  <si>
    <t>…io de la justa causa del Soberano. ,,Dios guarde á V. S. muchos años. Hacienda de la Caja Enero 17 de 1819 á las ó de la tarde. = Pedro Ruiz de Otaño. sr Sr. coronel y comandan te general D. Antonio'de Linares.’’ V . El Excmo. Sr. virey ha contestado al Sr. Linares dándole las debidas gra cias en nombre de S. M. por el esmero con que da cumplimiento á sus supe riores órdenes á efecto de que sin cesfar se persiga á los enemigos de la quie tud pública; y le há prevenido q…</t>
  </si>
  <si>
    <t>V, B.</t>
  </si>
  <si>
    <t>B. V</t>
  </si>
  <si>
    <t>…. D. S. S. T. 1©. Núm. 102. D. Diego Man girón 120. Núm. 103. El Excmo. Sr. marques de la Concordia 3©. Núm. 104. D. N. 80. Núm. 105. Un señor brigadier del egército 80. Núm. 106. D. B. V\ 40. Para el mismo piadoso objeto se han suscrito: Núm. 10 D. Juan Lecan-r da, por el.tiempo de la epidemia, con 20 rs. mensuales- Núm. 11. D. Ra fael Gúzman, por tres meses, con 10 rs. cada uno. Núm. 12. D. Eugenio Villaseñor, mientras dure la epidemia, con…</t>
  </si>
  <si>
    <t>V, F.</t>
  </si>
  <si>
    <t>F. V</t>
  </si>
  <si>
    <t>…. D. N. 160. Núm. 154. D. F. F. C. 320 rs. y 24 mrs Núm. 155. El Excmo. Sr. Nuncio de S. S. 1®. Núm. 156. D. J. Y. A. 320. Núm* 157. D. J. L. T. 60. Núm. 158. Doña N. 6. Núm. 159. Doña F. V* 100. Núm. ióq. D. A. R. Z. 100. Núm. 161. D. J. A. A. 120. Nú mero 162. D. N. 320. Núm. 163. D. F. F. 60. Núm. 164. D. N. N. 133. Núm. ió$. Pablo de la Cuesta 10. Núm. 166. D. Josef María de Pando 500. Núm. 167. D. K. Z. 20. Núm. 168. D. J. J, J. 332 rs. y 3…</t>
  </si>
  <si>
    <t>V, Felipe</t>
  </si>
  <si>
    <t>Felipe V</t>
  </si>
  <si>
    <t>…sta suerte el ayuntamiento de esta ciudad, penetrado del mayor sentimiento por tan sensibles acaecimientos , ha corres pondido al honorífico dictado de ciudad fidelísima debido ái Sr. D. Felipe V en remuneración de sus servicios y acrisolada lealtad. El capítulo eclesiástico de las parroquiales canónicamente unidas de San Pedro y S. Miguel de la misma , no menos adicto á sus buenos Reyes, y de seoso ae contribuir á su eterno descanso, celebró otras tr…</t>
  </si>
  <si>
    <t>V, I. de</t>
  </si>
  <si>
    <t>I. de V</t>
  </si>
  <si>
    <t>…de Urue 4 Núm. 85. D. Gregorio Sánchez Madrid iox Núm. 86. D. Y. M. M. 100. Núm. 87. D. Francisco Antonio Bringas 2©. Núm. 88. D. C. R. 20. Núm. 89. D. Manuel Guerra 200. Núm, 90. D. I. de V. 160. Núm, 91* D N. 80. Núm. 92. D. J. M. 320. Núm. 93. D. M. T. 300. Núm. 94. D. C. R. 2co. Núm". 95. D. Juan Carretero 200. Núm. 96. La Real corpo ración de capellanes de honor 6©. Núm. 97. Agueda Moreno, viuda, 20. Nú mero 98. D. T. S. 40. Núm. 99. D. Y. de…</t>
  </si>
  <si>
    <t>V, L.</t>
  </si>
  <si>
    <t>L. V</t>
  </si>
  <si>
    <t>…um. 522; IX.M. H. 20. Núm. 523. D. Santiago Larramendi 320 Núm. 524, El limo. $r. obispo de Salamanca 1500. Núm.» 525. Un sirviente ro. Núm. 526. Doñ Lorenzo Ximenez 60. Núm. 527. Doña D. L. V* 20. Núm. 5 28. Los seño-i res cuestores del cuartel del Barquillo, por resto de la demanda en éí, 82^ Núm. 5 2¡9¿ D. J. T. 120. Núm. 530. D. Antonio Solito 80 rs. y 4 mrs. Nú mero IX M» G. F. 60. Por el correo de 16 de Noviembre se libraron al limo. Sr. obis…</t>
  </si>
  <si>
    <t>V, P.</t>
  </si>
  <si>
    <t>P. V</t>
  </si>
  <si>
    <t>…a demanda semanal j 233#. Núm. 449. D. Pablo Martin Cainpomanes 320.''Núm. 450. D. H. M., por mano del señor cura de Stá. Crüz de Madrid, i®.rNúin. 451. D. G. Mv M..I®. Núm. 45 2. D. P. V., : en seis onzas de oro, ¡1920. Núm. 453. ;D. J. F. JL dos recibos de intereses de vales Reales importantes 2166 .rs; Nám. 454. D. A.?T;/.6ot Num, 455. ^D. -Jí A; 40. Num. 456; Doña M. H. 20. Npm.! 4(17., D¿ F. B. 400: Num. ’ 458.; La comunidad de padres Agus…</t>
  </si>
  <si>
    <t>V, R.</t>
  </si>
  <si>
    <t>R. V</t>
  </si>
  <si>
    <t>…si y á nombre de jsu comunidad de, Madrid, 320. Nú». 248.,D. Félix Barón 80. Núm- T49•• D* F.? EL° 20. Núm. 2 50. Doña, ¡Estanislaa Gamboa 160. Ñúm', 2^51. D- ,Ñ. Joo.jÑúm. ¿252; Doña R. V. .60, Ñúm.. •2;53,?,ipoñJ C J. 200. Núm. 254.’ Pona B. S. 40. Núm: 255. Doña M;. M. yiL.1320. Núm. 256* D, F.íPé Jt* 300. Núm. 257. Doña M. A P.. 100. Núm. 2j8. D. J. E. 60. Núm. 239. D. F» S. R. 20. Núm. 260. D. A. del M. y; ¡Puente 60. Núm. 26,1. D.P. S. de…</t>
  </si>
  <si>
    <t>V, Y.</t>
  </si>
  <si>
    <t>Y. V</t>
  </si>
  <si>
    <t>…ni. 14 D. M. A., por idem., con 20 rs. ídem. Núm. 15. D Santiago Antonio de Urizar, por idem.., con 20 rs. semanales. Núm. 16. D. F. Y., por Idem, con 120 rs. mensuales. Núm; 17. D. Y. V.., por idem, con 6b rs. idem. Núm. 18. Don V. R., por idem, con 160 rs. idem. Núm. 19. D. N. D. C., por idem, con 2© rs. idem. Núm. 20. D. .Manuel Piernas, por idem, con 60 rs. idem. Aunque los encargados de ia suscripción ofrecieron hacer una remesa se manal…</t>
  </si>
  <si>
    <t>Va, Benito Diez del</t>
  </si>
  <si>
    <t>Benito Diez del Va</t>
  </si>
  <si>
    <t>…y pasado dicho término sin haber compare cido , se determinará lo que convenga, y les parará el perjuicio que haya lugar. Se cita á los acreedores é interesados en el concurso de D. Benito Diez del Va lle para que concurran a la junta que ha de celebrarse en el dia 30 de este mes, á Jas nueve, en la posada del Sr.'D. Manuel Josef Rubio, del Consejo de S. M,, teniente corregidor de esta muy heroica villa, ante el escribano de su número D. Juan Raya. En virt…</t>
  </si>
  <si>
    <t>Vaí</t>
  </si>
  <si>
    <t>…sseHomburgo, la princesa María de Inglaterra, ja duquesa de Glocester y la Princesa Sofía de Inglaterra. ‘ ' - íot íElrdia y tuvoHa honia de presentar al Rey'Istís crédeñciafes el caballero Vaí lejqj, enviado extraordinario y ministro plenipotenciario -de da córte dé España. ' ■ ‘ -• :V't . • * ¡ ‘ i:-. -.-/¡tv: "q ■ í ;'v f v ;;0:\ ■; h;D ■ - ’• /:.i '■■.'ALEMANIA/'' ^ ■ •■■/-’iv .. .f í v i Jtyancfort j 6 de Julio. i - &gt;Se dice que das pretensione…</t>
  </si>
  <si>
    <t>Vaidor</t>
  </si>
  <si>
    <t>9*4 , ; i, Por-providencia del Sr.D.;-Manuel’ Fernandez fTatnborí , ■del-'Consejo &lt;Je S. Mi» alcalde de su Real Casa y Corte, refrendada, dél escribano de, provincia D. Vaidor mero Motaleda, ante quien está radicada la testamentaría-de;Juan Juárez, y de con formidad de sus hijos y herederos,se vende: uua casa, sita en e^ta villa, callé deí Relox, núm. 12, manzana 554, que tiene de sitio idii pies superficiales de area,y se compone…</t>
  </si>
  <si>
    <t>Vaienzuela, Francisco Polo y</t>
  </si>
  <si>
    <t>Francisco Polo y Vaienzuela</t>
  </si>
  <si>
    <t>…sta Esposa, pasó la sociedad al salón que se hallaba dispuesto con ia debida ^decencia, á presencia i de un distinguido y nu me droso concurso abrió la sesión el coronel retirado) D. Francisco Polo y Vaienzuela, vice-director, con un breve y elocuente discurso alusivo al caso, á que se siguió el resúmen de las tareas ael cuerpo en todo el año, recopilado ly leído por su primer secretario D. Antonio dé Jesús Vargas., en el que hizo particular mención del análisis de…</t>
  </si>
  <si>
    <t>Valbüena, Mannel de</t>
  </si>
  <si>
    <t>Mannel de Valbüena</t>
  </si>
  <si>
    <t>…ecretario del ayuntamiento D. Ramón Mateos Alférez, hasta el dia 30 de No viembre , en que se ha de proveer. Diccionario universal latino-español dedicado al Rey nuestro Señor por Don Mannel de Valbüena. Cuarta edición, corregida y enmendada. Se hallará en la librería de Calleja calle de las Carretas, Los suscriptores ala colección de obras de mis tres Bennet, ó sea historia de lar heredera del país de Gales y la niña mendiga, acudirán á recoger el tomo ó.°,…</t>
  </si>
  <si>
    <t>Valda</t>
  </si>
  <si>
    <t>…rral, y fpe mnertoalmotpeOto. .£L resaltado de esta ¡ornada, ha sida el ñudillo Pruid^nc.ia y un tejiente; sjjyo nvuertos; un sargento,y tq soldados en los cuartos y corrales ; el capitán Valda, dos, tenientes, un alférez., dos sargentos, un cabo y 36 soldados prisio neros, de los que fueron pasados por las armas esta mañana los cuatro oficia les , dos sargentos, un cabo y nueve'Soldados por haber sido de nuestro egército, siendo en todos ios muejjQ…</t>
  </si>
  <si>
    <t>Valda, Francisco Gebriañ y</t>
  </si>
  <si>
    <t>Francisco Gebriañ y Valda</t>
  </si>
  <si>
    <t>…. . Asimismo el día 9 del corriente el cabildo de la santa iglesia de Toledo, primada de las Españas, representado por sus individuos el Emo. Sr. cardenal patriarca'de las Indias D. Francisco Gebriañ y Valda, arcediano titular; el Exorno. Señor D. Tomas Aparicio Santih, colector general de Espolios y Va cantes, consejero honórário de Estado, arcediano de Madrid, y los canónigos D. Gabriel de Hevia y Noriega, decano del Consejo de la suprema -general Inquisición,…</t>
  </si>
  <si>
    <t>Valdearenas, Josefa Gabriela</t>
  </si>
  <si>
    <t>Josefa Gabriela Valdearenas</t>
  </si>
  <si>
    <t>3 2 ' . • , goce y obtención de dichos patronos está reservado igualmente el derecho por la sente'ncia de la chancillería á los que le puedan tener mejor que Doña Josefa Gabriela Valdearenas. Quien supiere el paradero de dos vales Reales de 300 pesos cada uno, creación de i.° de Enero de 1808, señalados con los números 1:01793 y 110581, pertene cientes á D. Ignacio Vicente de Errasti, cuyos vales íiieron aprehendidos por el titu lado capitán de h…</t>
  </si>
  <si>
    <t>Valderábano, Josef Manuel Rodríguez</t>
  </si>
  <si>
    <t>Josef Manuel Rodríguez Valderábano</t>
  </si>
  <si>
    <t>…a Guerra: para la regencia de la. audiencia de Canarias á D*. Juan. Nicolás Undabeitia, oidor de lá chanciHería de-Valladolidpara dos plazas de oidor dé ia audiencia de Ga licia á D. Josef Manuel Rodríguez Valderábano, alcalde del crimen de ía audiencia de Valencia , y á D., Domingo Arí^s, que lo era&gt; en comisión del mismo tribunal: para una- plaza de alcalde del Consejo de Navarra , que' re sulta vacante1 por traslación de D. Pedro de la Puerta á otra' de la audiencia de…</t>
  </si>
  <si>
    <t>Valdes, Bernardo Estrada</t>
  </si>
  <si>
    <t>Bernardo Estrada Valdes</t>
  </si>
  <si>
    <t>…20 de diciembre de 18o8 con direc ción á su regimiento, y desde entonces no se ha&gt; tenido noticia segura de él. Quien sepa de cierto si es vivó ó muerto se servirá participarlo á D. Bernardo Estrada Valdes, cura del referido Hontanar, ó al R. P. guardián de capuchinos de S. Antonio en Madrid, y se le dará una gratificación; para en caso de fallecimiento invertir en bien de su alma ciertos bienes que tiene en dicho pueblo de Hontanar. Nuevo método de canto del c…</t>
  </si>
  <si>
    <t>Valdés, Gerónimo</t>
  </si>
  <si>
    <t>Gerónimo Valdés</t>
  </si>
  <si>
    <t>…res cargó con brillante éxito al caudillo Rojas*. c o i ! ,,Durante la ausencia de-Vigii marché con el resto de las fuerzas -ni'1 Valle Chic© ó Punto Viejo, en .doíide ayudado del coronel D. Gerónimo Valdés,r subinspector de, cstie egército.,.pude reunir bastante ganado vacuno. Durante^ toda la: expedición he debido mucho á este valiente, infatigable y acrédl—‘ t&amp;do gefé&gt;'</t>
  </si>
  <si>
    <t>Valdés, Migiiel de Arce y</t>
  </si>
  <si>
    <t>Migiiel de Arce y Valdés</t>
  </si>
  <si>
    <t>…el regente de aquella jurisdicción D. Josef Morcillo y Caprera juntó al muy ilustre ayuntamiento , quien éómisionó al presbítero D* Pedro Antonio Martínez :dé Cablera y al regidor D. Migiiel de Arce y Valdés para preparar todo lo nécésárib y conveniente a lá solemne y fúnebre augusta Ce remonia que sé había ácd'fdádo/éñ’ debido y justo tributo á la buena memoria de tan virtuosa Reina. Precedidas esquelas de convite • al clero, comunidad religiosa de padres observ…</t>
  </si>
  <si>
    <t>Valencia, Salvador</t>
  </si>
  <si>
    <t>Salvador Valencia</t>
  </si>
  <si>
    <t>…Rey de la pla za de Madrid al coronel D. Ignacio Unzeta, capitán del primer regimiento de Reales guardias de infantería; y ía sargentía mayor de la plaza de Palma, en Mallorca, al coronel D. Salvador Valencia, comandante del primer&gt; batallón del regimiento infantería del Príncipe. j » Y * • V * - - —_________________________________________ !------------- ------------------1 ------------- 1—i—t-7 , rn- ti ■■■■ am En virtud dfe Real órden se arriendan por seis años…</t>
  </si>
  <si>
    <t>Valero, Josef</t>
  </si>
  <si>
    <t>Josef Valero</t>
  </si>
  <si>
    <t>…ar yuso de uniforme de practicantes de cirugía de egército. ' Y por otra del mismo dia se ha servido conceder el fuero militar y usó de uniforme de médicos de número de egército á D. Josef Valero, médico titular de la villa de la Membrilía, y á D. Tomas López, médico de la de Uclés, por las mismas razones que el primero ; declarando al mismo tiempo le ha sido muy grata á S. M. la cesión que respectivamente han hecho de la pensión anual que debían disf…</t>
  </si>
  <si>
    <t>Valladolid, Ramón de Egnarasyen</t>
  </si>
  <si>
    <t>Ramón de Egnarasyen Valladolid</t>
  </si>
  <si>
    <t>…Bar tolomé Rui/ ; eñ Segovla en la de D Bernardíno del Pozo; en Salamanca en la dé D; Josef Medina;-en Sigüenza en la del Lie. O. Juan.Antonio Mendéz; en Santan der en la del Lie. D. Ramón de Egnarasyen Valladolid en 1a del Dr. D. Luis Me-' j&gt;a; en Astorga en la de D. Gaspar Tardío: én Toledo en la de D. Benito Lizana; en Ciudad Real en la de D. Francisco Morales; en Cuenca en la de D. Manuel Faustino de César; en Badajoz en la del Dr. D. Jaime Brancos; en Plasencia en…</t>
  </si>
  <si>
    <t>Valle, Josef del</t>
  </si>
  <si>
    <t>Josef del Valle</t>
  </si>
  <si>
    <t>…a fanega á 330 rs., y toda ella 990: un olivar que ocupa 4 fanegas y 2 celemines en Jo alto de la vega, linda á norte con la Cañada, con 103 olivas, linda á mediodia con olivar de D. Josef del Valle, vecino de Móstoles, á poniente tierra de Manuel Tejera, á oriente tierra de Lujan, vale á 60 rs. cada olivo* y todo el olivar 6180; cuyas tierras hasta aquí expresadas con el jardín y olivar son de 400 estadales de á rof pies cada uno, que es el marco que co…</t>
  </si>
  <si>
    <t>Valle, Leonardo del</t>
  </si>
  <si>
    <t>Leonardo del Valle</t>
  </si>
  <si>
    <t>Caula y D. Pedro Fernandez; los subtenientes D. Migue! Rubio y D. Nico lás Baronesi, y el abanderado D. Leonardo del Valle. También son acreedo res á la estimador, de V. E. ei espitan comandante del cantón de Chaguaramal D. Hilario Torralba, y los capitanes D. Julián Matos y D. Josef Ga briel Hernández , como también el bizarro capitán comandante de las mili cias de S. Mateo D. F…</t>
  </si>
  <si>
    <t>Valle, Ptócido del</t>
  </si>
  <si>
    <t>Ptócido del Valle</t>
  </si>
  <si>
    <t>…mara. \ ' ‘ A D. Josef Gil Campos \ y D. Miguel Col!. ^ * V . í . JL ■ . ’ Idem de boticarios de Cámara. A T&gt;. Josef Mignard , jr D. Calixto García. ídem de cirujano de Familia. A D. Ptócido del Valle. . - ■ ; : , ■ .■ . ¡ U. i ■ , - - --i-' ■ V v.r-;. • ./ kota. Las gracias concedidas por. los, oíros ministerios se publicarán sbcesivamente en.este , periódico. 1 * - i r ¡ . ■ . i ' . ’ ‘ A EN LA IMPRENTA REAL.</t>
  </si>
  <si>
    <t>Vallejo, Josef Mariano</t>
  </si>
  <si>
    <t>Josef Mariano Vallejo</t>
  </si>
  <si>
    <t>…erirá'en la plaza ,á cualquiera presbítero, siempre que reúna las cualidades.cor respondientes para el. desempeño de dicho magisterio. Compendio de matemáticas puras y mixtas, por D. Josef Mariano Vallejo: dos tomos en octavo prolongado. El primero cóntiene Ja aritmética, álgebra, geometría,' trigonometría y geometría práctica ; y el segundo la aplicación del álgebra ’á la geo-. metria, secciones cónicas, funciones y series, y los cálculos diferencial é integr…</t>
  </si>
  <si>
    <t>Vallverdu, Joaquin</t>
  </si>
  <si>
    <t>Joaquin Vallverdu</t>
  </si>
  <si>
    <t>…da en 'la del Dr. D. Manuel Lope? Mateos; en Málaga en la del T&gt;r. D., Jaime Alibau;.en Vigo en la del Dr: D. Julián Perez; en Santiago én la de D. Pedro Romero; enójense en la de D. Joaquin Vallverdu; en Betanzos en la, del Dr. D. Rosendo Fariñas;,-en ALcarjtjz en La de D. Ramon Villalba; en Caíatayud en ia de D. Lorenzo Gano Beirran; en Un Castillo en la de D. Paulino Gil; en Jaca en la de D. Josef Mora ; en Teruel en la de D. Antonio Herrero; en Zarago…</t>
  </si>
  <si>
    <t>Vandamme</t>
  </si>
  <si>
    <t>…El diario de Gante dice que está autorizado para declarar que Alejandro Laborde, complicado en la conspiración contra ej Emperador de Rusia, y prófugo, nunca ha sido ayudante del general Vandamme. ;Berth, Poutllóf-Lacroix y Buchóz; han apelado de la sentencia qué Se les ha impuesto , condenando á los dos primeros á tres años de cárcel , y al. ubtimo a seis años , después de marcado y puesto á la vergüenza por dos horas. . ■: - - ... Idem 5. . ... ...,…</t>
  </si>
  <si>
    <t>Vandamroe</t>
  </si>
  <si>
    <t>…s piezas del proceso que por el mes de Agosto próximo pa sado, cuando se aguardaba en .Áquisgran á los Soberanos aliados, Alejandro* laborde, que se titulaba ayudante de campo del general Vandamroe^ yresK «aba prófugo de Francia por razones políticas, Concibióién Brasélas él) pm4 yecto &lt;íé apoderarse, con el auxilio de algunos pardales, de la.persona del imperador Alejandro en su travesía por Francia o por * los Países-Bajos y y obligarle á firmar un ex…</t>
  </si>
  <si>
    <t>Várela, Salvador</t>
  </si>
  <si>
    <t>Salvador Várela</t>
  </si>
  <si>
    <t>…s siguientes: en la primera clase D. Lorenzo Moret, niño del mas singular despejo, y que solo cuenta 16 meses de instrucción; D. Manuel Bommatí, D. Jacobo Pa checo, D. Josef Adan, D. Salvador Várela , D. Juan Mateo, D. Antonio Medina y D. Ramón Martínez. En la segunda D* Ignacio Várela , D. MañuefRodríguez Campo , D; Manuel-García, D. Pedro Ochoa, D. Francisco Herrera, D. Joaquín Meana .y D. Miguel Arrimada. En la tercera D. Josef Gutiérrezp. Carlos Sant…</t>
  </si>
  <si>
    <t>Vargas</t>
  </si>
  <si>
    <t>499</t>
  </si>
  <si>
    <t>…osible dar alcance á una gavilla de 11 rebeldes que esta ba :continuamente er* ese cajniuo causando grandes males , tuvo por compañe ros suyos Jos-caWlos r.que mhndáha el teniente coronel Vargas , y se acerca ron por su retaguardia^ en-cuyo momento fueron' cargados y perseguidos con muerte de uno y prisión dé ocho,, que ^Jli,iphjd9Q pasé por' las armas, pre vios los auxilios cristianos, quedando en mi poder sus armas y caballos y las de los dos que c…</t>
  </si>
  <si>
    <t>Vargas, Francisco'Martin</t>
  </si>
  <si>
    <t>Francisco'Martin Vargas</t>
  </si>
  <si>
    <t>…abiéndolo verificada sin mas citación ni emplazamiento,? se*proveerá ib que corresponda en? derecho , y les parará el perjuicio que- haya lugar. ... Se desea; saber el paradero de D. Francisco'Martin Vargas;,, vecino1 que; fue 4® la 9Íudad de Avila»'ó de sus-herederos para comunicarles irn apunto que les interesa», para lo ci^af acudirán a D.Julian deCáceres, quevlve: en cs^axor te-calle del Condes plazuela de S» Xavier,, númv.4 , cuarto principal. ■ './ *,}- ..…</t>
  </si>
  <si>
    <t>Várgas, Guillermo de</t>
  </si>
  <si>
    <t>Guillermo de Várgas</t>
  </si>
  <si>
    <t>…á ar juzgado de S. S. por la escribanía de níiméro de E&gt;. Tomas dé Sancha y Prado,. dor.de se admitirán las que se hicieren siendo arregladas. . En virtud dé providencia del limo. Sr. D. Guillermo de Várgas, del Consejo y Cámaia de S. M. en; el Real y supremo de la Guerra, y asesor general de todos los.</t>
  </si>
  <si>
    <t>Vargas, Mariano</t>
  </si>
  <si>
    <t>Mariano Vargas</t>
  </si>
  <si>
    <t>…uir una pequeña gavilla que se hallaba en aquellas inme diaciones, y ahuyenrada por los 50 caballos que me acompañaban al mando del valiente teniente coronel graduado de realistas D. Mariano Vargas, con tinué mi marcha el 25 , y llegué ayer á esta ciudad. ,, Ademas de las ventajas que aparecen en la sucinta relación de mis últi mos movimientos, se ha logrado asegurar mas la confianza entre los vecinos -de los pueblos y rancheros ; y esto y las incesante…</t>
  </si>
  <si>
    <t>…e.\ ailadolid; fel 1,5 del présente* y el 16.dispuse!á .la salida, del pueblo •de Capula que 40 caballos de mi . cuerpo y realistas de A pan ai mando del teniente coronel graduado D. Mariano Vargas, disfrazados en el trage de los rebeldes, se adelantasen por los cerros:en la madrugada sin ser vistos, y que sobre marcha tirdte^seir la.divisionque llevaba , de modo que persuadiesen ser js^eidé», á?Jo que JJudÓLiiauchp una- guerrilla dei 10 caballos qüe hi…</t>
  </si>
  <si>
    <t>Várgas, Ramón de Pisón y</t>
  </si>
  <si>
    <t>Ramón de Pisón y Várgas</t>
  </si>
  <si>
    <t>…casa de D. Pedro Marín, del comercio, y en Valencia á la librería de Navar ro, siendo de cuenta de'los suscriptores el pagar el porte. Fábulas en verso castellano, compuestas por D. Ramón de Pisón y Várgas, mi nistro togado que fue del Real y supremo Consejo de la Guerra. La discreción y novedad de los asuntos, junta con la fluidez de los versos y propiedad del lenguage que se admira en estas fábulas, estimularon ai sobrino del autor D. Juan Bautista Iturralde…</t>
  </si>
  <si>
    <t>Variandaran, Martin</t>
  </si>
  <si>
    <t>Martin Variandaran</t>
  </si>
  <si>
    <t>…del de dragones de S. Luis; D. Cristóbal Vjllaseñor, capitán del de Sierragorda; D. Juan Bada joz, capitán del regimiento i.° americano; D. Juan .-Arguelles, teniente; del mismo: D. Martin Variandaran, capitán del regimiento de dragones del Prín cipe. ; Honores del tribunal de la Rota. A D. Lorenzo Ortega, canónigo lectora! de Santiago; D» Luis’ Ramírez Thoií de Monsalve, capellán de honor de S. M.; D. Tomas González, canó nigo de Plasencia. POR LA SECRETA…</t>
  </si>
  <si>
    <t>Vaüejo, Pedro González de</t>
  </si>
  <si>
    <t>Pedro González de Vaüejo</t>
  </si>
  <si>
    <t>…urgos, manifestados por medio de los expresados diputados é individuos de su ayuntamiento. En el día 1 f del pasado el cabildo de la santa iglesia de Segovia, repre sentado por el Sr. D. Pedro González de Vaüejo, obispo electo de Mallorca, dignidad de tesorero y canónigo de aquella catedral; y D. Manuel de Alvaro Benito, canónigo de la misma, y teniente vicario general castrense, tuvo el particular honor de felicitar á SS. MM. por su augusto enlace y besar sus Reales…</t>
  </si>
  <si>
    <t>Vauthier</t>
  </si>
  <si>
    <t>…stro plenipotenciario de S. M. el Empe rador de Rusia, ha remitido al Excmo. Sr. ministro del Interior la cantidad de 500 francos queS. M. I. ha concedido por vía de socorro á Mr. D. Vauthier, vecino de Menil-la-Horgne, distrito de Commercy, para ayudarle á reparar las pérdidas'que ha padecido en la última guerra. Idem gi. Se ha publicado una obra titulada: Monumentos romanos de Nimes, di bujados for el natural} y grabadas litográficamente: y_or d…</t>
  </si>
  <si>
    <t>Vázquez, Antonio</t>
  </si>
  <si>
    <t>Antonio Vázquez</t>
  </si>
  <si>
    <t>…do. Recomiendo á V. S. el singular mérito que ha contraído la tropa de mi man do en este día, y muy particularmente á los capitanes D. Juan Josef Hidal go, herido con dos balazos; D. Antonio Vázquez, que salió contuso; D. Be* nito Boves y D. Francisco Sainz; los tenientes D. Hilario Noguera; D. Juan Bolet, D. Josef Antonio García y D. Benito Ostos; los subtenientes D. Fran cisco Bolet y D. Manuel Rodríguez; los sargentos primeros Agustín Luqué y Pascual…</t>
  </si>
  <si>
    <t>Vázquez, Francisco</t>
  </si>
  <si>
    <t>Francisco Vázquez</t>
  </si>
  <si>
    <t>…to, y no vena para la fiesta del corazón de Jesús, por el P. D. Teodoro de Almeida, sacer dote de la congregación. del oratorio de S. Felipe Neri de Lisboa, y traducidos por el P. D. Francisco Vázquez, prepósito de S. Cáyetano de esta corte. En este.li bro da á conocer el autor los tesoros de amor divino que tenemos en el corazón de Jesús, que se nos da en el Santísimo Sacramento como fuente de las gracias y mise ricordias, y como atractivo de nuestra conf…</t>
  </si>
  <si>
    <t>Vázquez, Josef</t>
  </si>
  <si>
    <t>Josef Vázquez</t>
  </si>
  <si>
    <t>…gus tín González, residente en la villa de Poza, provincia de Burgos; á D. Josef Borsell en la ciudad de Barcelona; á D. Luis Paz en Sta. Cristina de Baleige, obispado de Tuy, y á D. Josef Vázquez en la ciudad de Sevilla: de clarando al mismo tiempo le ha sido muy grata á S. M. la cesión que res pectivamente han hecho de la pensión que con arreglo á la circular de'19 de Junio de 1S15 debían disfrutar. . El Real y supremo Consejo de Castilla , á propues…</t>
  </si>
  <si>
    <t>….©. -V'. ñ. L. 500. Núm. 466. D: D. M . 20.rN^m¿í4,^7';,? señor» 'teñieítiteniiayof ~déiá! parroquia-de S. Luis de Madrid, por limosnas recibidas rde sus fdigne5^6 rs.^Nfim. 468. D. Josef Vázquez 12:0. Núm. 469 é-¡Di•;RoquePbrdreirá 46. Núm. 470. Dos bienhechores 40. Núm. 471; D..A. A. rúo. .Núm. Xa^-^ena^Marfe-Josefa de Arciniegá 80. Númr 473. Doña .Marla .Salomé- de - í</t>
  </si>
  <si>
    <t>Vázquez, Martin Sahtin y</t>
  </si>
  <si>
    <t>Martin Sahtin y Vázquez</t>
  </si>
  <si>
    <t>…■; . .1 Por providencia del Sr. D. Angel Fernandez de los Riós * del Coasejo de S. M¿, primer teniente corregidor de esta muy heroica villa, refrendada del escribano de su número D. Martin Sahtin y Vázquez, se ha señalado el! dia i o del corriente', y hora de la 12 de su mañana, en la audiencia de S. S., para el,remate de la botica nom brada comunmente de S. Isidro» que existe en esta corte y su calle del Burro, y está tasada en 29,431 rs, y í/ynrs^vn. ; , . ,…</t>
  </si>
  <si>
    <t>Vázquez, Martin Santin y</t>
  </si>
  <si>
    <t>Martin Santin y Vázquez</t>
  </si>
  <si>
    <t>…cipal. Por providencia del Sr. D. Angel Fernandez de los Ríos, del Consejo de S. M., primer teniente de corregidor de esta muy heroica villa, refrendada del escribano de su número D. Martin Santin y Vázquez, se ha mandado sacar á pública subasta por término de 30 días una casa tahona; sita en esta cortfc y su calle de Silva, núm. 15, manz. 456, que comprende 4284,pies de sitio,,y esfá tasada en 134,289 rs. Quien quisiere hacer postura á ella acuda al referido ju…</t>
  </si>
  <si>
    <t>…iiiirj Por providencia del Sr. D. Angel Fernandez dé los Ríos, del Consejo de Si M ; primer teniente dé corregidor de esta muy heroica villa; refrendada del escribano de su numero D. Martin Santin y Vázquez, se ha mandado sacar á pública subasta, por término d© 30 días, una casa en el Real sitio de S. Ildefonso, y su calle de Infan tes , que linda con ella al poniente, al norte casa de gentileshombjres,. al.oriente callejuelas excusadas, .y al mediodía casa del…</t>
  </si>
  <si>
    <t>…- Por providencia del Sr. D. Angel Fernandez de los Ríos , del Consejo de, S. M¿,' primer teniente de corregidor: de,esta muy.heroiiea villa, refrendada del escribano de su numero D. Martin Santin y Vázquez, se Ha mandado sacar á pública subasta por término de 30 dias una-botica-nombrada comunmente de S. Isidro, situada en esta corte y calle llamada delBurro, tasada en 29,431 rs. y 17 mrs, vn. Quien quisiere hacer posturaVy enterarse -dé las tcpndfciones.conque&lt;…</t>
  </si>
  <si>
    <t>…os. . Por providencia del Sr. D. Angel Fernandez de los Ríos, del Consejo de S. M., primer teniente de corregidor de esta muy heroica villa , refrendada del escribano de su numero D. Martin Santin y Vázquez , se han mandado sacar á pública subasta pa ra sú venta tres tierras de pan llevar en- término del lugar de Fuencarral» de á dos fa negas cada una, en los sitios que llaman la Cuesta Blanca, Carril de Barajas y los Calabozos, apreciadas en 1600,rs. Quien quis…</t>
  </si>
  <si>
    <t>Vázquez, Martin Santín y</t>
  </si>
  <si>
    <t>Martin Santín y Vázquez</t>
  </si>
  <si>
    <t>…referidas dotes si las hubiesen devengado, ó á acreditar su existencia y solicitar la renovación de sus nombramientos en la escribanía deí núme ro de esta propia villa que egerce D. Martin Santín y Vázquez, secretario de dichas memorias; con apercibimiento de que pasado sin hacerlo, perderán el derecho á las dotes y se adjudicarán 4 otras personas, conforme á la voluntad del fundador. Por providencia del Sr. D. Joaquín de Zengotita Vengoa, del Consejo de S. M*,…</t>
  </si>
  <si>
    <t>Vázquez, Martín Santón y</t>
  </si>
  <si>
    <t>Martín Santón y Vázquez</t>
  </si>
  <si>
    <t>…ta muy heroica villa; y por providencia del Sr. D. Angel Fernandez de los Ríos, del Consejo de S. M., teniente primero de corregidor de ella, refrendada deí escribano de su numero D. Martín Santón y Vázquez, se ha mandado llamar, citar y emplazar, como se hace, á cualesquiera otras personas que se hallen con derecho á dicha herencia, para qué acudan á "deducirlo én él referido juzgado y escribanía dentro dsl preciso y perentorio término de 30 dias primeros sigui…</t>
  </si>
  <si>
    <t>Vázquez, Mártiri Santin y</t>
  </si>
  <si>
    <t>Mártiri Santin y Vázquez</t>
  </si>
  <si>
    <t>….en 134,289 rs., y se remato en 151,309. Quien quisierehacer mejora acuda al juzgado del señor teniente de corregi dor D. Angel Fernandez «de los Ríos, .y escribanía del número de D. Mártiri Santin y Vázquez; en el concepto de que el nueva reñíate sé Ha dé celebrar el último de los echo dias siguientes al en que se inserte esté anuncioy sí fuére"feriado en el sucesivo. Por providencia del Sr. D. Manuel Josef Rubio, del Consejo de S. M., tenien te corregidor de es…</t>
  </si>
  <si>
    <t>Vázquez, PedroGonzalez y</t>
  </si>
  <si>
    <t>PedroGonzalez y Vázquez</t>
  </si>
  <si>
    <t>…ef Miguel de Muros, teniente de fragata; D. Jacinto Gil de Castro, teniente coronel; D. Josef Aloy , ídem; D. Ignacio Chacón, teniente de navio; D, Josef María Cucalón , capitán ; D. PedroGonzalez y Vázquez, tesorero administrador de tabacos que fue deCumaná ; Don Josef Martínez, coronel agregado al regimiento de Zaragoza; D.Pedro Perez S. Julián , comandante del primer batallón de Zaragoza; D. Bernardo Vergara, capitán,, ayudante del general Lignan; D. Manuel A…</t>
  </si>
  <si>
    <t>Vázquez-, Martín Satitln y</t>
  </si>
  <si>
    <t>Martín Satitln y Vázquez-</t>
  </si>
  <si>
    <t>…___ . -inrui Por providencia del Sr. D. Angel Fernandez de los Rios, del Consejo de S. M., teniente corregidor de esta inuy heroica villa, refrendada-del escribano de su iuíhkk ro D. Martín Satitln y Vázquez-, se ha señalado él día 15 del corriente,_dc doce ¿ una,enla audiencia de S. S. para el.remate.de la casa-tahona, sita,en Ja .calle de Sil va, núm. 15 , manz. 456, que comprende 4284 pies, y está tasada en i34,í8^rs., á.la.xualjic-ha Jxecho.ppstura en. 1 oo$.m…</t>
  </si>
  <si>
    <t>Vega, Blas Francisco de</t>
  </si>
  <si>
    <t>Blas Francisco de Vega</t>
  </si>
  <si>
    <t>…acordasen sus concejos, y que las posturas deben dar los respectivos regidores; el cual se halla autorizado por el escriba no D. Antonio de la 'Carcoba. 20.. Instrumentos para el Sr. D. Blas Francisco de Vega, que justifican el pago de 13,034 rs. vn. pagados á Tomas de Leito y su hija en virtud de egecutoría de los Sres. del Consejo. 21. Testimonio de la Real carta egecutoría, librada á pedimento de Doña María Rita de Gamarra y Osa, viuda, vecina de Deba, en el pl…</t>
  </si>
  <si>
    <t>Veguack</t>
  </si>
  <si>
    <t>…personas muy apreciables cada una por diferentes respetos, como son el cirujano BierJkeen , el botánico Swartz, los poetas Oxenstiern y Adlerbeth , el obispo y orador Wingaerd, el general Veguack,.el almirante Nauekhof, los ricos ha cendados Fersen y Posen, célebres por su patriotismo &amp;c.</t>
  </si>
  <si>
    <t>Veíazquez, Zacarías</t>
  </si>
  <si>
    <t>Zacarías Veíazquez</t>
  </si>
  <si>
    <t>…. Sres. duques de Rívas, y muchos de algunos profesores, como el que representaba la muerte de Lucrecia^ pinta do por D. Josef Madrazo, un S, Fernando para la capilla defcanal por Don Zacarías Veíazquez, y diversos retratos .hechos por D. Josef Aparicio, por D. Francisco Goya, por D. Luis Cruz y Ríos, por D. Rafael Tege, joven de 20 años, discípulo de la academia, de quien eran igualmente otros dos cuadros originales; y habia&lt;también varias copias de algunas…</t>
  </si>
  <si>
    <t>Veiez, Justo</t>
  </si>
  <si>
    <t>Justo Veiez</t>
  </si>
  <si>
    <t>…L primer- acto público. de conclu siones de economía política en ei Real y conciliar colegio seminario de esta ciudad bajo la dirección de-su catedrático; el presbítero licenciado D. Justo Veiez, según lo tiene determinado la Real sociedad patriótica de Amigos del país en, el. reglamento dé esta cátedra. Ya estad nombrados por su sección de educación los jueces examinadores; pero no obstante se convida á los in teligentes á que hagan las preguntas qu…</t>
  </si>
  <si>
    <t>Velando, Fulgencio Fajares y</t>
  </si>
  <si>
    <t>Fulgencio Fajares y Velando</t>
  </si>
  <si>
    <t>■* Rüiz y Rato, D. Fulgencio Fajares y Velando, D. Josef Osorjo y Mallen, £&gt;. Carlos Orive-y Torres,: D. Fernando Bustillos y Barreda, D. Manuel Bustilíos y Barreda, D. Josef Bustillos y Barreda y D. Pedro Ponce y Riquelme. Con la de 8 de idem: D. Federico Vargas y Mathews, D. Francisco Vargas y Mathews,…</t>
  </si>
  <si>
    <t>Velarde, Fernando Montero Tamayo y</t>
  </si>
  <si>
    <t>Fernando Montero Tamayo y Velarde</t>
  </si>
  <si>
    <t>…llecido en dicho pueblo de Huermeces Doña Florentina Rodriguez de Ubierna sin ascendientes, se irá trasmitido y derivado en él ó sus hijos ¿orno á hijo mayor y nieto respective de D. Fernando Montero Tamayo y Velarde y Doña Josefa Rodriguez de Ubierna", administrador de Rentas que fue de la ciudad y provincia de Palencia, unos vín culos regulares dotados con bienes consistentes en el referido pueblo de Huermeces, ciudad de Burgos,.y otros-, que con motivo de ignorar su paradero ha soli…</t>
  </si>
  <si>
    <t>Velarde, Isidro</t>
  </si>
  <si>
    <t>Isidro Velarde</t>
  </si>
  <si>
    <t>…ría Velarde /hija del testador, casada con Gabriel García de la Torre, y i falta de varón hembra, y no quedando sucesión legítima de estos llamó al sucesor de la casa y vínculo de D. Isidro Velarde , su padre. Se publican todas las referidas circunstancias en este periódico á fin de que los que se crean con derecho á dicha casa concurran en término dé 30 dias/contados desde esta publicación, á deducir</t>
  </si>
  <si>
    <t>Velarde, Joaquín María</t>
  </si>
  <si>
    <t>Joaquín María Velarde</t>
  </si>
  <si>
    <t>…nombrar para presidente de Ja referida junta á V. E¡, y para vocales de ella al'Sr. D. Tomas Aparicio Santin, colector general de Espolios y Va cantes, y á los tenientes generales D. Joaquín María Velarde, marques de Monsalud,; y á D. Luis Alejandro Bassecourt; siendo su soberana voluntad qué los pretendientes á esta distinción presenten por sí ó por sus agentes sus solicitudes con Jos documentos correspondientes ante este ministerio, de donde ke;pásarM 1 V. E…</t>
  </si>
  <si>
    <t>Velasco', Petronila de</t>
  </si>
  <si>
    <t>Petronila de Velasco'</t>
  </si>
  <si>
    <t>…a de Madrid, como principales deudores y pagadores Henriqúé Antonio Flamenco, calcetero, que vivía en sus casas calle Mayor, y Blás dó Salinas, confitero, y Luisa Diez su muger, y Doña Petronila de Velasco',, viuda, fiadores y pagadores de María López y Luisa Diaz, con licen cias de sus respectivos maridos otorgaron escritura de venta por .juro de here dad á Gregorio de Rueda y Catalina Diaz su muger, 18,750 mrs. de censo de renta en cada un año sobre las citada…</t>
  </si>
  <si>
    <t>Velasco, Antonio Martínez de</t>
  </si>
  <si>
    <t>Antonio Martínez de Velasco</t>
  </si>
  <si>
    <t>…nos. El dia 23 del pasado tuvieron la honra de felicitar al Re? nuestro Señor por su augusto enlace, en nombre dél venerable cabildo de curas y beneficia dos -de Madrid, los Sres. D. Antonio Martínez de Velasco, cura de Santiago y S. Juan, y abad del cabildo; D. Juan Antonio Salcedo, cura de S. Ginés, decano; D. Domingo Alvarez,. beneficiado propio de Santiago y S. Juan, archivero; y. D. Felipe Guio, cura de S. Andrés, secretario; de los cuales el primero arengó á S…</t>
  </si>
  <si>
    <t>Velasco, Frfncisca Henrique de</t>
  </si>
  <si>
    <t>Frfncisca Henrique de Velasco</t>
  </si>
  <si>
    <t>…satisfacción deí interesado. Continuación del inventario de los instruníéntos y títulos que se hallan en el archivo de procuradores. 3.0 Hijuela de lo que se le adjudicó á la Sra. Doña Frfncisca Henrique de Velasco en la partición de bienes de la Excma. Sra. Doña Juana'de Velasco de Guzman, marquesa de Alcáñizas, su madre, para él pago de deudas y otros legados, la cual está autorizada por el escribano Francisco Isidro de León en 27 de Agosto'de 1691. 4.0 Papeles perten…</t>
  </si>
  <si>
    <t>Velasco, Mariana de</t>
  </si>
  <si>
    <t>Mariana de Velasco</t>
  </si>
  <si>
    <t>…en cada un año sobre las citadas casas, otorgada ante Juan Trujillo, escribano, 28 de Agosto de 1598. ; 9.0 Escritura de imposición de censo, otorgada por D, García de Alvarado y Doña Mariana de Velasco. su muger, señor de las villas de Talamanca -y de Valdemuñoraz y lugares de su tierra y jurisdicción, por la cantidad de 37» 500 mrs. de censo y tributo en cada un año, que percibieron de Alonso Trechel , del comercio de esta corte, cuya escritura pasó ante e…</t>
  </si>
  <si>
    <t>Velascq, AntonioFernandez de</t>
  </si>
  <si>
    <t>AntonioFernandez de Velascq</t>
  </si>
  <si>
    <t>…dé censo , otorgada por Doña Elvira de So ria, muger de Francisco Hernández , vecino de la ciudad de Ciudad-Rodrigo, por sí, como madre, tutora y curadora de sus bijas* menores y D. AntonioFernandez de Velascq, sobre .los bienes ry, hacienda* que í».: pertenecían á di cha Doña Elvira, y recibió sobre sus bienes el citado Velasen, otorgada ea 9 dé Setiembre dé 1560 anos ante Francisco de da Carrera , escribano deí * ^ mero de dicha ciudad. {Se eonHutínra.) - -</t>
  </si>
  <si>
    <t>Velasque, Ramón Romero y</t>
  </si>
  <si>
    <t>Ramón Romero y Velasque</t>
  </si>
  <si>
    <t>…incertidum-r »&gt; bre que se atribuye á la medicina nace ó de que se aplican poco los médi« eos á las observaciones, ó de que no las hacen con el cuidado que ellas piden.” Su autor D. Ramón Romero y Velasque, médico consultor de la junta supe rior de Sanidad de la provincia de Murcia, y titular del limo, cabildo de Cartagena, quien no solamente describe bien y exactamente la epidemia que observó en Jumilla en el reino de Murcia en el año 1812 , demostrando que fu…</t>
  </si>
  <si>
    <t>Velazqréz, Isidro</t>
  </si>
  <si>
    <t>Isidro Velazqréz</t>
  </si>
  <si>
    <t>…responde ; y según se vayan recibiendo éstas noticias se publicarán eO este periódico , empezando desde ahora con un extracto de la nota qué há pasado el arquitecto mayor de S. M. Don Isidro Velazqréz de varias obras que se han concluido^ y óítes qúe se están égecutandó bajo En la plaza del Real palacio * titulada' de Orienté, se construye una obra suntuosa, cuya planta es circular, y tiene 329,924 pies castellanos de supérficie, y 39,430 pies mas que la p…</t>
  </si>
  <si>
    <t>Velazquez, Isidro</t>
  </si>
  <si>
    <t>Isidro Velazquez</t>
  </si>
  <si>
    <t>…to Abuelo, hizo disponer el Excmo. Sr. conde de Miranda, mayordomo mayor de S. M., el túmulo y ornato fúnebre del templo, cuya egecucíon, se encargó al arquitecto mayor de palacio D. Isidro Velazquez1. En el centro de la iglesia se levantaba un suntuoso cenotafio construido en la forma siguiente: ■ ■ Sobre un zócalo circular, imitado á mármol negro dé S. Pablo , de 46| pies de diámetro por cinco de alto, habla cuatro graderías en cruz, por las cuales se s…</t>
  </si>
  <si>
    <t>…manzana compren dida entre íacalle de las Fuentes y de los Tintes^ cuyas obras, uñidas á las que en la misma plaza de Oriente se están egecutando por el arquitecto ma yor dé S. M Don Isidro Velazquez, contribuirán admirablemente al orna^ (O : Wasé lagaceta dé to ÚP Agosto de,este año, niíra. 96 , /en la que se anun ciaron las obra^ se han egecutado, y las que se continúan pox yl arquitecto mar yor de S. A*. £&gt;on Isidro YcUzquez. ; ...L-</t>
  </si>
  <si>
    <t>Velez, Josef</t>
  </si>
  <si>
    <t>Josef Velez</t>
  </si>
  <si>
    <t>…Ruiz, cóifqnel, comandante del batallón ligero dé Navarra; D. Juan Orbegozó, coronel agregado del regimiento fijo de México, y mariscal de campo D. Juan Echeverri. Caballeros. ; , D. Josef Velez, capitán de milicias provinciales; D. Josef López Me-</t>
  </si>
  <si>
    <t>Velez, Pedro Junquera y</t>
  </si>
  <si>
    <t>Pedro Junquera y Velez</t>
  </si>
  <si>
    <t>…Federico Vargas y Mathews, D. Francisco Vargas y Mathews, D. Cayetano Pilón y Tovalina, D. Calixto Paredes y Lardin, D. Josef Castellani y Ximenez , D- Francisco Nuñez y Pascual, D. Pedro Junquera y Velez, D. Josef Butrón y Butrón, Df Josef Rigada y ¡Llano y D. Esteban Hidalgo de Cisneros, . . ? Queriendo el Rey nuestro Señor recompensar los buenos servicios, distin guidos méritos é inconcusa fidelidad del conde de S. Xavier y Casa-Laredo, se ha dignado condec…</t>
  </si>
  <si>
    <t>Vengoa, Joaquín de Zengotita</t>
  </si>
  <si>
    <t>Joaquín de Zengotita Vengoa</t>
  </si>
  <si>
    <t>…justo desahogo del acendrado amor y respeto que profesa á la augusta Real Persona de V. M.” La ciudad de Alcalá de Henares, por medio de una diputación compuesta de su corregidor D. Joaquín de Zengotita Vengoa , del consejo de S. M.; Don Pedro Aldama, regidor; D. Pablo Urruela, procurador síndico general, y D. Esteban Azaña, secretario de su ayuntamiento, tuvo la honra de felicitar á S. M. el dia 12 de Noviembre; y dicho corregidor le arengó en los térmi nos siguie…</t>
  </si>
  <si>
    <t>…memorias; con apercibimiento de que pasado sin hacerlo, perderán el derecho á las dotes y se adjudicarán 4 otras personas, conforme á la voluntad del fundador. Por providencia del Sr. D. Joaquín de Zengotita Vengoa, del Consejo de S. M*, corregidor y subdelegado general de vacantes, abintestatos y mostrencos de la ciudad de Alcalá de Henares y su partido, se venden 259 fanegas de tierra labrantía, sitas en término de la villa de Valdeolmos Quien quisiere comprarlas acud…</t>
  </si>
  <si>
    <t>Ventad, Manuela de</t>
  </si>
  <si>
    <t>Manuela de Ventad</t>
  </si>
  <si>
    <t>…o fesor de sGrdor.mudos D. Juan Eranciscóde Gal i, dedos sordo-mudos de na cimiento,, una niña; y un ni&amp;o¡, la nipa de. diez años dé edad con-año y mejdio de instrucción, .llamada Doña Manuela de Ventad es, hija única de Don .Pedro de Ventades, abogado, natural de la villa de Munguía en el mism;o señorío de Vizcaya; la que preguntada por su maestro sobre los artículos de Ja fe, respondió completa píen te por; escrito y de palabra: declinó, conjugó, dijo de d…</t>
  </si>
  <si>
    <t>Ventura</t>
  </si>
  <si>
    <t>…fuerza que se presentaba, se retiraron al galope, tratando de introducirse en las calles de la villa, de donde fueron rechazados por unas cortas partidas que mandé al intento. El capitán Ventura seguía la marcha de la canalla, y tuvo varias escaramuzas, en las cuales les mató é hirió bastantes; y á cosa de las nueve de la mañana se retiraron á sus madrigueras, dejando en el campo 11 muertos, 15 caballos, y llevándose á mas 16 atravesados en las silla…</t>
  </si>
  <si>
    <t>Ventura, Ignacio</t>
  </si>
  <si>
    <t>Ignacio Ventura</t>
  </si>
  <si>
    <t>…tenido, desis tieron de su empresa, dejando algunos muertos en el campo, y retirando los heridos. En vista de este acaecimiento mandé al capitán de cazadores del mis mo regimiento D. Ignacio Ventura que con la compañía de s« mando y la de granaderos marchara á unirse con la tropa que se estaba batiendo, y escar mentase á la canalla, haciendo llamadas falsas: los rebeldes, que vieron la fuerza que se presentaba, se retiraron al galope, tratando de introdu…</t>
  </si>
  <si>
    <t>Vera, Pedro Xavier de</t>
  </si>
  <si>
    <t>Pedro Xavier de Vera</t>
  </si>
  <si>
    <t>r34 - : EL¡Rey nuestro Seríor, teniendo.en consideración^ los distinguidos servicios :Gontraidbs por D. Pedro Xavier de Vera en el ramo de Represalias 3 se ha -servido condecoradle con-los honorés de sti secretario. r L$ Guia de forasteros ypel Estado militar de España p;ara, este ano se hallarán &lt;ciy tafileteé, pasta y.rusticaren el despachq dc,,la imprenta. Real. r \ j’,' Por pro…</t>
  </si>
  <si>
    <t>Vergara, Bernardo</t>
  </si>
  <si>
    <t>Bernardo Vergara</t>
  </si>
  <si>
    <t>…o administrador de tabacos que fue deCumaná ; Don Josef Martínez, coronel agregado al regimiento de Zaragoza; D.Pedro Perez S. Julián , comandante del primer batallón de Zaragoza; D. Bernardo Vergara, capitán,, ayudante del general Lignan; D. Manuel Alvarez, capitán delTetúmíento 'deZaragoza; D.Manuel Lara, teniente de idem ; D. Manuel Soriano, idem; D. Antonio Tuya, idem; D. Ramón Soto, sargento mayor del regi miento de la Puebla; D.-Francisco de Paula L…</t>
  </si>
  <si>
    <t>Vergara, Pantáleona Perez de</t>
  </si>
  <si>
    <t>Pantáleona Perez de Vergara</t>
  </si>
  <si>
    <t>…ta general; la cual, jipará estimular á las demas jóve-1 nes compañeras de las nuevas maestras, ha? teñido por cCtovenienté anunciar; los nombres de estas, que sonólas siguientes: Doña Pantáleona Perez de Vergara ,discípula y pasanta de la’Re'ai escuela gratüita; del barrió de Sta.Cruz:' Doña Josefa Barba josa, discípula y pasanta dé la Real'escuela del barrio de; Pinto; Doña María Regina Santos, discípula y pasanta de la Real escuelndeh barrio de S. Basilio: Doña Man…</t>
  </si>
  <si>
    <t>Vergara, Ventura Oñez de</t>
  </si>
  <si>
    <t>Ventura Oñez de Vergara</t>
  </si>
  <si>
    <t>…Oñez de Vergara, teniente del extinguido regimiento de infantería primero de Iberia, se ha servidd S. M. declarar injustas, calumnio sas y falsas las delaciones presentadas por el D. Ventura Oñez de Vergara contra el mariscal de campo D. Francisco de Longa; y por consecuencia que no ha habido justo motivo para la formación de las causas que contra él se instruyen y siguen en la'capitanía general de Castilla la Nueva, en las que se sobreseerá inmediatamente en. e…</t>
  </si>
  <si>
    <t>Verge, Rafaela</t>
  </si>
  <si>
    <t>Rafaela Verge</t>
  </si>
  <si>
    <t>…onvenga en los autos que en él promueve Juan Izquierdo y Cristina Bene dicto, consortes, con Miguel Ripoll, que lo es de Adjutorio Roqueta, y con otros; . en cuyos autos era parte Doña Rafaela Verge, que ha fallecido , nombrando por he redera universal de sus bienes á la citada Doña María, su sobrina, la que no ha sido habida, ignorándose su paradero, y por lo mismo se publica este aviso á los fines ma nifestados y efectos que haya lugar. Las dos casas s…</t>
  </si>
  <si>
    <t>Verhucet</t>
  </si>
  <si>
    <t>…ariscal duque de Treviso, al marques de Talhuet, mariscal de campo, y coronel del 2.° regimiento de los granaderos de á caballo de la guardia, al conde Truguet, vice-almirante, al conde Verhucet, vice-almirante, al conde Lavillegontier. " - 2.0 ,, Queda expresamente derogado en favor de los Pares mencionados lo que dispone el artículo i.° de nuestro decreto de 25 de Agosto de 1817; y en su consecuencia asistirán inmediatamente á la Cámara de los Pare…</t>
  </si>
  <si>
    <t>Vgrgas</t>
  </si>
  <si>
    <t>…terminación, y haberme venido para este pueblo, ha sido que á mi llegada á dichoTancjtaro, nie-encontré que el- interesante correo, que mapdaba á , V. E. con el parte prigm;al del capitán Vgrgas con todos los pormenores de la empresa que dis puse el dia 18 del pasado: Febrero para la prisión de la rebelde junta fue interceptado por el rebelde Peña, y degollado con otro compañero, y pues to en el camino con un papel. El correo muerto es Josef Mí/tía M…</t>
  </si>
  <si>
    <t>Vi</t>
  </si>
  <si>
    <t>…premo de la Guerra la Real orden siguiente: Condescendiendo el Rey nuestro Señor con la Solicitud que dirigió el Sr. D. Francisco Xavier Castaños * capitán general de Cataluña, de Doña Vi centa Frías, viuda de D. Santiago Guzman de Villoría, gobernador que fue de la plaza de Tortosa, y conforme al parecer del Consejo supremo de la Guerra, se ha dignado declarar indemne el honor y conducta de Villoría en el tiempo que estuvo de gobernador en di…</t>
  </si>
  <si>
    <t>Vi, Evaristo</t>
  </si>
  <si>
    <t>Evaristo Vi</t>
  </si>
  <si>
    <t>…Miguel de Madrid,, por limosnas recibidas de sus feligreses, 1670. Núm. 132. Un farmacéutico 300. Núm. t33. D. R. S. 440. Núme ro 134. D. N. 40. Núm. 135. Doña R. B. 20. Núm. 136. D. Evaristo Vi cente Alvarez 120. Núm. 137. D. Rafael de Elorza 100. Núm. 138. Doña Ramona Berenguel 60. Núm. 139. D. P. P. 40. Núm. 140. D. N. 2®. Nú mero 141. El Exorno. Sr. D. Martin García y Loigorri 200. Núm. 142. Fé lix Fernandez, mozo sirviente, de su sueldo, 20. Núm…</t>
  </si>
  <si>
    <t>Vi, F. A.</t>
  </si>
  <si>
    <t>F. A. Vi</t>
  </si>
  <si>
    <t>…. ioo&gt; Núm 287- Doña Ri PL 200. Asimismo se haOi sÚSGrit9 lo señores siguientes :r:i T r ;; ¡ &gt; Núm. 31. Dj .Atlejo ¡Casado, durante la epidemia ^ cop, 39 rs. mensuales. Ntím. 32. D. F. A. Vi , por ídem, con 30 ídem. *Núni^;33&gt;iP S S, con 2 reales diarios por-un año*. Núm. 34. D. Sebastian de Flores, por el tiempo de la epidemia, con 200 rs. mensuales. Núm. 3 j. D. J. M?. .de&gt; por ídem, con 6 rs.. diarios» vf.;.- ■ ;v i&lt;: . . ' {&gt; 1 •• '• Por el c…</t>
  </si>
  <si>
    <t>Vic</t>
  </si>
  <si>
    <t>…ídem, con 6o ídem. Num. 25. D. J. M. M. , por ídem, con 20 ídem. Num. 26. Doña Jacinta Alonso, por idein, con 10 ídem. Nú mero 27. D. Tomas Alonso, por idem, con 20 idem. Núm. 28. Doña Vic toria Biant, por idem, con 80 idem. Núm. 29. D. N., por idem, con 90 ídem. Núm. 30. León Ponce , por idem, con 20 ídem. Nota, El vale Real de 150 pesos que .cedió D. Custodio Alcalde (nume ro 24 de donativos) se redujo á metálico, y produjo 354 rs. y 22 mrs.…</t>
  </si>
  <si>
    <t>Vicen</t>
  </si>
  <si>
    <t>…a y emplaza á todos los acreedores i los bienes dte la testamentaría de D. Alejandro del Conde para que con curran á legitimar los que les cor responda al juzgado de provincia del Sr. D. Vicen te García Cavero, del^Gorascjode S. M.t su alcaide en su Real Casa y Corte, y es* cribanía de D. Mauricio Justo del Rincón ¡ apercibidos que pasado se proccderá^al señalamiento «de día para la junta. . ^ Ei dia 5 salió á luz «I núra. 48 de la continuación del…</t>
  </si>
  <si>
    <t>…ente año se dará principio á las lec ciones de medicina práctica en el Real estudio establecido al intento por S. M, en esta corte dentro de su hospital General, y dirigido por el Sr. D. Vicen te Martínez, primer médico de Cámara del Rey nuestro Señor, de su supre mo Consejo de Hacienda, decano de la Real y suprema Junta gubernativa de Medicina, presidente del colegio y academia médica de esta corte, y de la sociedad de medicina y otras ciencias de…</t>
  </si>
  <si>
    <t>Vicen-</t>
  </si>
  <si>
    <t>…, grande dé; España , exento de Reales Guardias de la ‘Persona dél Rev:, *A- . VT.l--A T_„J_ y su. _-t-'gemiihoínbiríáde11__V . Ja -Ía D «aCámara1 ,, con egercició,' J--’'yA_____'D. Vicen-1 1 jai 14.1 ****** «vi i «v v*v «** - w «*-**&gt;«***»m»**a v*** X* y • xvx t O UL cjustc^séntiim.éñto'-.por ja'tpérdid?'de.-Ísi''!R’Eií^;^ nuestra.Señora , y al mismp .tiempo le‘entregaron ege implares, dé.fes téxe^úja£ fúnebres qué- con^ este motivo ¿fa verifi…</t>
  </si>
  <si>
    <t>Vicente</t>
  </si>
  <si>
    <t>…no haeé#k&gt; les parará el per juicio que haya lugar. Por providencia del señor teniente corregido* D. Angel Fernandez de ios Ríos* dada en este dia por la escribanía del número de D. Vicente de la Costa, se ha mandado sacar á pública subasta por el térmire de la ley una casa situada en la ca lle de la Maderá alta, núm. 11 , de ia man?. 463 , á instancia de D. Blas Menen— dez , 'dueño actualmente de ella, y la cual perteneció antes á la viuda de D…</t>
  </si>
  <si>
    <t>…n virtud de providencia del Sr. D. Ángel Fernandez de los Ríos, del Con sejo de S. M., y teniente primero de corregidor de esta muy heroica ví^a, dada por escribanía del numero de D. Vicente de la Costa, á instancia del promotor fiscal de concurso y obras pías, se ha mandado sacar á publica subasta una porción de viña que en el término del lugar de Fuencarral, y sillo que nombran la Fuente Morena,</t>
  </si>
  <si>
    <t>…ncia de providencia del Sr. D. Angel Fernandez de los Ríos , del Consejo de S. M., y teniente primero de corregidor de esta muy heroica villa, dada por la escribanía del número de D. Vicente de la Costa á instancia del promotor fis cal de concursos,y obras pias, con fecha de .22 de Setiembre último, se ha mandado repetir la subasta de üna porción de viña, que en el término del lugar de Fuencarral, y'sitio que nombran la Fuente'Mdrena, corresponde…</t>
  </si>
  <si>
    <t>…En virtud de providencia del Sr. D. Angel Fernandez de los Ríos, del Consejo de S. M., y teniente primero de corregidor de esta muy heroica villa, su fecha 13 del corriente, ante D. Vicente de la Costa, escribano de S. M. y del numero de ella, se manda sacar á pública subasta una viña sita en el lugar de Fuencarral, y tér mino que nominan la Fuente Morena, perteneciente á la testamentaría de Doña Jua na Díaz Vázquez, viuda y heredera que fue del…</t>
  </si>
  <si>
    <t>Vicente'de</t>
  </si>
  <si>
    <t>…'j M..- • o».. Por el juzgado del Sr. D. Angel Fernandez de,los Ríos, del Consejo de S. M.# y teniente primero,de. corregidor de esta muy heroica vijla, y escribanía del número de D. Vicente'de la,Costa» penden autos proinovidorá instancíádel mayprdomo de Jabrica de lai }gU$ía ¡parroquial de S.’Ándres de esta ¿orte, en concepto, dé sucesor legítimo á las memorias que fundó el Lie. Pablo Ibañez dé Alarcon, como poseedor de un principal de censo de 5©…</t>
  </si>
  <si>
    <t>Vicente, Francisca Antonia García</t>
  </si>
  <si>
    <t>Francisca Antonia García Vicente</t>
  </si>
  <si>
    <t>…uientes al de este ,anuncio; con apercibimiento de que pasado sin hacerlo se acordará lo que corresponda , y lea parará el perjuicio que haya lugar* Habiendo fallecido abintestato Doña Francisca Antonia García Vicente, vecina que fue de esta corte, en la parroquia de S. Mamed de Piñeiro, reino de Galicia, ei día 18 de Diciembre de 1817, se ha solicitado por parte de uno de sus ochoTiermast'os se les declarase por herederos; y por auto proveido por el Sr. D. Angel Fernan de…</t>
  </si>
  <si>
    <t>Vicente, S.</t>
  </si>
  <si>
    <t>S. Vicente</t>
  </si>
  <si>
    <t>…sgran. También se establecerán depósitos inmediatos á las aduanas. __ Francfort 4 de Junio. " ¿Aseguran que^se va á dar un mando importante en el mar Báltico al alr mlrante ingles lord S. Vicente. . * Ha salido de Petersburgo el gran duque Nicolás á pasar revista á las guar niciones de las plazas de las provincias fronterizas. Riga será el centro de sus operaciones. Ffanhetm 4 de Junio. Se hallan actualmente en Altona y en Hamburgo 8oo emigrados alema…</t>
  </si>
  <si>
    <t>Víctor</t>
  </si>
  <si>
    <t>…a de Lima » vacante por fallecimiento de D. Manuel de Irigoyen, a D. Vicente Ródrigiiez Romano: para la alcaldía mayor de Nata, en la pro vincia de Panamá, vacante por cesación de D. Víctor de la Guardia, á Don Julián María Bergído: para el corregimiento del Asiento de Ambato, en la presidencia de Quito , al coronel graduado D. Jorge Ricaurte: para la asesoría del gobierno é intendencia-de Popayán, á D. Miguel de Nájera Meneos; y para la subdele…</t>
  </si>
  <si>
    <t>Victoria</t>
  </si>
  <si>
    <t>…sa!ío del parage de Tamarindo esta madrugada con 35 hom bres de su compañía, con «I fiñde batjr al. cabecilla Crisanto, y de indagar el parage donde se halla escondido el titulado general Victoria, cuyo servicio me pidió hacer, y yo le concedí' por reconoce* eii él bástante disposición y verdadero arrepentimiento, dándole igualmente mis instrucciones para el lo gro de la empresa. Del resultado, si fuere como espero, daré á V. S. el mas pronto parte. ,,…</t>
  </si>
  <si>
    <t>Victoria, Federico de</t>
  </si>
  <si>
    <t>Federico de Victoria</t>
  </si>
  <si>
    <t>…á Don Claudio Domingo de Ochoa. Doctrina de Fleuri, primero á D, Felipe Barto lomé de Ibárrola. Idem de Astete, primero á D. Vicente de Artiñano. Fá bulas de Samaniego, primero á D. Federico de Victoria. Dibujo, primero á D. Francisco Semprun. Idem segundo á D. Juan Ramón. Paternina. Idem ter cero á D. Pedro Bergé. Gramática castellana, primero á D. Josef Fernandez Molina. Idem segundo á D. Gregorio de Olaeta. Gramática francesa, prime ro á D. Miguel de Maza…</t>
  </si>
  <si>
    <t>VictorianoLopy, Francisco</t>
  </si>
  <si>
    <t>Francisco VictorianoLopy</t>
  </si>
  <si>
    <t>…a gratis, y algunas otras .-gratificaciones. Los profesores que se hallen adornados de las cualidades que se requieren dirigirán sus memoriales documentados, y francos de porte, á D. Francisco VictorianoLopy^ Moreno, secretario del ayuntamiento de dicha villa; en inteligencia de que para ello se prefija el término de un mes contado desde este, anuncio. Real Instrucción ó reglamento adicional de la ordenanza de reemplazos de 27 déOctubre de r8oo. "Véndese á 4 rs.…</t>
  </si>
  <si>
    <t>Vicuña, Cristóbal</t>
  </si>
  <si>
    <t>Cristóbal Vicuña</t>
  </si>
  <si>
    <t>…e"feriado en el sucesivo. Por providencia del Sr. D. Manuel Josef Rubio, del Consejo de S. M., tenien te corregidor de esta muy/heroica villa, dada-por- la escribanía dé número de Don Cristóbal Vicuña, se han mandado sacar á pública subasta dos casas unidas sitas en esta corte, la una en la calle del Desengaño, ¿frcntelal convento de S. Basilio, y la otraen la calle de los Leones , señaladas'.ambascon*ei núm. 13 de la mañz. 355, y se componen de dos tienda…</t>
  </si>
  <si>
    <t>Vicuña, Cristóbal de</t>
  </si>
  <si>
    <t>Cristóbal de Vicuña</t>
  </si>
  <si>
    <t>…virtud de Real facultad y providencia del Sr. D. Angel Fernandez de los Ríos, del Consejo de S. M., teniente corregidor de esta muy heroica villa, por la escriba nía del número de D. Cristóbal de Vicuña, se ha mandado subastar la casa calle de Jacometrezo, núm. 11, manz. 365, que tiene de sitio 1627 pies y cuarto, tasada en 109022 rs. y 8 mrs., y con calidad de no rematarse en menos de dicha cantidad, se ha señalado para que se verifique el dia 6 de Marzo pr…</t>
  </si>
  <si>
    <t>…escribanía. , ■ Por providencia del Sr. 0. Angel Fernandez de los Ríos, del Consejo de S.'M. , teniente corregidor de esta muy heroica villa, dada por la escribanía,del numero de. D. Cristóbal de Vicuña, se subasta por 30 días, y señala para su remate último el 2.3 del corriente de doce á una en la audiencia de S. S., la hacienda ele heredad de tierras de secano, con casa, cortijo, ermita, pozo de agua viva, y demas edifi cios existentes en ella, jurisdicció…</t>
  </si>
  <si>
    <t>Vidaí, Bruno</t>
  </si>
  <si>
    <t>Bruno Vidaí</t>
  </si>
  <si>
    <t>…6/; 22,319, y 30,634; y /541; especial y señaladamente á todos los comprendidos en sus últimos^ endosos, que son ¿.Lorenzo Claro9, tesorero principal de rentan Reales de Cataluña; D. Bruno Vidaí; D. Francisco Sastre y SimónE). Ramón. Caílá; t&gt;. F. K Vignér; y asimismo al tenedor de otro vale ReaVde óoo pesos de igual creación , núm. 10,142 , para qué cQñcprran á exponer y alegar de su derecho en el expediente de reclamación que se ha formado en dicho…</t>
  </si>
  <si>
    <t>Vieta, Pedro</t>
  </si>
  <si>
    <t>Pedro Vieta</t>
  </si>
  <si>
    <t>…física completo y elemental presentado bajo un nuevo orden con los descubrimientos modernos, pót Antonio Libes, y traducido dél francés al español por el doctor de cirugía médicá D. Pedro Vieta, catedrático de física de lá Real Junta de gobierno del comercio de Cataluña, primer ayudante dél cuerpo de cirugía militar, socio de varias academias &amp;c., acudirán á recoger el tomo i.° y pagar el importe del 2 0 á la librería de Martínez , frente á S. Felip…</t>
  </si>
  <si>
    <t>Víeta, Pedro</t>
  </si>
  <si>
    <t>Pedro Víeta</t>
  </si>
  <si>
    <t>…eto y elemental, presentado, ba^ Jó*unr nuevo orden con los descubrimientos ^modernos, &gt;ppr Antonio libes, y irado-, Cid os del francés al español por el doctor en ^cirugía médica D. Pedro Víeta, cate drático de física de la Real Junta de gobierno del'Comcrcio de Cataluña, primer ayudante del cuerpo de cirugía militar, socio de varias academias &amp;c . acudirán á re coger el tomo 2.0 y pagar el $.° á la librería de Martínez, frente á S. Felipe el Real.…</t>
  </si>
  <si>
    <t>…o de Física completo elemental presentado bajo un nuevo orden con los déseúbriáiientos moderaos por Antonio Libes, traducido del francés al español por ¿1 doctor en cirugía médica D. Pedro Vieta, catedrático de física de la Real junta de gobierno del comercio de Cataluña, acudirán á recoger el tomo 3.0 y ultimo á lá librería de Martínez, frente á S. Felipe el Real , donde se halla de venta toda la obra. Esta obra aunque elemental da completa idea del…</t>
  </si>
  <si>
    <t>Vigii</t>
  </si>
  <si>
    <t>…do'qüé do blamos las jornadas, no pudnnosalcanzarlos como lo esperaba’ahtes de'Cfai— quiaca yien cuyo punto se:me reunió Poveda el 20.: j ^ 3- ? c ! :1 . , El día después mandé ai coronel Vigii con el comahdante de Extrema dura D. Tomas Barandalla y la mitad de'la fuerza de la expedición sobre Ca— faparí é Itau en seguimiento de Rojas, Sánchez y otros caudillos: este digno-gefe logró, alcanzarlos eik el primero y segundo punto Ios-clÍas 2 t^ 23- y-…</t>
  </si>
  <si>
    <t>Vigil, Antonio</t>
  </si>
  <si>
    <t>Antonio Vigil</t>
  </si>
  <si>
    <t>…• v*' ' : •' ■* Lima 2* dé'Abril. ,:;:j •. 1,- ' • •' . ■ .. . ’ Oí'.rr ■ 1 ■ ' '' ; Continuación de los partes dirigidos al Excmo. Sr. virey del Perú* Parte del teniente coronel \D. Antonio Vigil. ,, Apenas me informaron el cura y vecinos del pueblo de Pascaya de que su partido se vería pronto libre de enemigos, pues con la retirada de Suviria ya no había quedado, mas qué uno que otro desertor de este candiHo, que se mantenía robando, cuando supe por.…</t>
  </si>
  <si>
    <t>Vigo, Benito Antonio Pueyo y</t>
  </si>
  <si>
    <t>Benito Antonio Pueyo y Vigo</t>
  </si>
  <si>
    <t>…de mé dico de número de egército» en premio de los servicios que ha contraido du rante la última guerra: el fuero m litar y uso de uniforme de practicante de cirugía de egército á D. Benito Antonio Pueyo y Vigo , cirujano residente en el Ferrol ;.y el fuero nulitar y uso de uniforme de practicante de farmacia de egército á. D. Jacinto Ibeás, farmacéutico én el lugar de Tendiíla; decla rando al mismo tiempo le ha sido muy grata á S. M. la cesión que respecti vamente…</t>
  </si>
  <si>
    <t>Vigo, Josef Mendez de</t>
  </si>
  <si>
    <t>Josef Mendez de Vigo</t>
  </si>
  <si>
    <t>…aumento en su producción: 200 rs. por vía de abL cesit á D. Francisco Pandiello , vecino de Sariego, por haberlo hecho en la propia forma y número de 7 dias de bueyes: 400 rs. al Sr. D. Josef Mendez de Vigo por haber sembrado una tierra suya propia dé 15 dias de bueyes de solo maiz cuarenteno sin mezcla alguna de otra semilla, cuya cantidad eñ el mismo acto de adjudicarse puso á disposición de la sociedad el agraciado'püré que la destinase á los laudables objeto…</t>
  </si>
  <si>
    <t>Vigodct, GaspáfkJe</t>
  </si>
  <si>
    <t>GaspáfkJe Vigodct</t>
  </si>
  <si>
    <t>m I* o honorario del Consejo'de Estado, y colector general de Espollos y Vad eantes; D. Domingo Dutari, ministro honorario ;del Consejo de. íEstado; D. GaspáfkJe Vigodct, teniente generad de los Reales egéicítos, capíitan. ge neral de Castilla la Nueva , y caballero gran cruz de la Real orden española de Cárlos iii y de la de Isabel la Católica. Los gentileshoinbres de Cámara de S. M. conde de Oñate, éábrííero gran cruz de la…</t>
  </si>
  <si>
    <t>Viiianova, Tomas</t>
  </si>
  <si>
    <t>Tomas Viiianova</t>
  </si>
  <si>
    <t>…Noviembre á las 12 de su mañana, y continuará‘-á la misma hora todos losJ martes, .jueves y sá bados que no sean feriados-, bajo la dirección del vice-profésor de este ramo el Dr. D. Tomas Viiianova, médico honorario de la Rea!, Cámara de S. M. y de número de la Real Familia. Un breve discurso sobr.e la. zoologíp y su utilidad servirá de abertura y precederá á sus lecciones; en seguida explicará teórica y prácticamente los conocimientos mas necesarios de…</t>
  </si>
  <si>
    <t>ViIlarroel, Tomas Alvarez</t>
  </si>
  <si>
    <t>Tomas Alvarez ViIlarroel</t>
  </si>
  <si>
    <t>…lecimiento de D. Josef María Santos, á D. Tomas Puyol; y para la media ración de la santa iglesia catedral de Valladolid de Mechoacan, vacante por no haber tomado posesión de ella D. Tomas Alvarez ViIlarroel, á D. Juan Romero Perdón, capellán de número de la Real armada. Él R$y se ha servido promover á alféreces de fragata de su Real armada á los guardias-marinas siguientes en las dos fechas que se expresan ...... .Coa la de 6 de Febrero de este año: D. Josef Vir…</t>
  </si>
  <si>
    <t>ViiUvieja, Gregorio</t>
  </si>
  <si>
    <t>Gregorio ViiUvieja</t>
  </si>
  <si>
    <t>…arques de Santa Cruz 320. Núm. 59. D. Antonio Paño ico. Núm. óo. Doña Y- M. 20. Nú mero 61. D. Eugenio Villaseñor 200. Núm. 62. D. N. 320. Núm. 63. Don Manuel de Yela óo. Núm. 64. D. Gregorio ViiUvieja, cura de S. Josef de Madrid, por limosnas quede han dado dos feligreses suyos, 10c. Núm. 65 Miguel Fernandez, aguador de S. M., 20. Núm. 66. D. B. D. 300. Núm. 67. D. Pedro Sedaño 200. Núm. 68 D. Cayetano Bautista 25. Núm. 69. Don Santiago Antonio de Unza 80.…</t>
  </si>
  <si>
    <t>Vil, Josef</t>
  </si>
  <si>
    <t>Josef Vil</t>
  </si>
  <si>
    <t>…pitanía general de Castilla la Nue va *se cita, llama v emplaza á los herederos y demas interesados que se crean con de recho á los bienes de Dona Eulalia Josefa O liver, viuda de D. Josef Vil adornar*; sargento mayor que fue del regimiento provincial de Chinchilla, que falleció abin- . testato en esta plaza el 24 de Noviembre próximo pasado, para que en el término de 30 días que se les señalan, y se contarán desde este anuncio, acudan al referido…</t>
  </si>
  <si>
    <t>Vilapudna, Carlos</t>
  </si>
  <si>
    <t>Carlos Vilapudna</t>
  </si>
  <si>
    <t>…ica, en premio de sus distinguidos méritos y servicios. Por Real resolución de 27 de Octubre último, á consulta del Consejo su premo de la Guerra, se ha servido S. M. conceder , á D. Carlos Vilapudna, alumno del Real colegio de cirugía médica de Barcelona, el fuero militar y liso de uniforme de practicante de cirugía de egército, que ha solicitado en premio de los servicios que ha hecho durante la última guerra. Por otra de 28 del mismo mes se ha servido…</t>
  </si>
  <si>
    <t>Vilia, Antonio</t>
  </si>
  <si>
    <t>Antonio Vilia</t>
  </si>
  <si>
    <t>…mes comparezcan ante S. S. por sí ó por medio de procurador, con poder bastante, en lbs autos de suspensión de pagos formados á instancia del mismo en su juzgado, y escribanía de D. Antonio Vilia, que sido hacen se les oirá y guardará justicia, y de lo contrario, sin mas citación ni emplazamiento que la presente, sustanciará S. S. los autos en su rebeldía con el defensor nombrado, y les parará el perjuicio que haya lugar; previniendo se ha señalado pa…</t>
  </si>
  <si>
    <t>Villa, Juan</t>
  </si>
  <si>
    <t>Juan Villa</t>
  </si>
  <si>
    <t>…da últimamente por orden superior en la cantidad de 125348 rs. vn. La persona que quisiere hacer postura á dicha finca acuda al citado señor juez, por la escribanía del número de D. Juan Villa y'Olier dentro del término de 20 días . contados desde eí 27 de Marzo último; en inteligencia de que én conformidad de dicha Real facultad no se admitirá menos del precio de su tasa, y en dinero metálico. Se halla vacante el partido de cirujano dé la villa de…</t>
  </si>
  <si>
    <t>…rmino de 10 dias, contados desdé' el 29 del pasado, que por último se les concede, respecto haberse verificado de otros, comparezcan en la audiencia de dicho señor y escribanía de D. Juan Villa yOlier, á deducir por sí ó por medio de procurador, con facultad bastante, las acciones que les competan centrados expresados bienes; con apercibimiento que pasado dicho tér mino sin haberlo verificado, sin mas citación ni emplazamiento llamará S. S. los au t…</t>
  </si>
  <si>
    <t>Villajes, Vicente Fernandez</t>
  </si>
  <si>
    <t>Vicente Fernandez Villajes</t>
  </si>
  <si>
    <t>…posta , cálle dél 'Principé?, en donde se -veiid.era* toda la ^Dias én el campo, 6 pintura de; una buena familia, obra escrita por Mr. DucrayDuatftttf* y traducida 'libremente por D. Vicente Fernandez Villajes; cuatro Roídos en 8.° Esta obra es sumamente apreciable por ser una continuación.de las lardes de la Granja,&lt;y,el traductor no duda que hallará igual acogida de cuantos conocen.el mérito dfe esta. Se. hallará en ¡Madrid en. las librerías, de Kaxola, calle de…</t>
  </si>
  <si>
    <t>Villalba, Ramon</t>
  </si>
  <si>
    <t>Ramon Villalba</t>
  </si>
  <si>
    <t>…en la del Dr: D. Julián Perez; en Santiago én la de D. Pedro Romero; enójense en la de D. Joaquin Vallverdu; en Betanzos en la, del Dr. D. Rosendo Fariñas;,-en ALcarjtjz en La de D. Ramon Villalba; en Caíatayud en ia de D. Lorenzo Gano Beirran; en Un Castillo en la de D. Paulino Gil; en Jaca en la de D. Josef Mora ; en Teruel en la de D. Antonio Herrero; en Zarago za en la del'Lie:’D» Mariano Herrando; en Alicante en la de D. Francisco Sarget; en-Carta…</t>
  </si>
  <si>
    <t>Villalobos, Angel López</t>
  </si>
  <si>
    <t>Angel López Villalobos</t>
  </si>
  <si>
    <t>…de Josef Blanco, ó sus herederos, para que acudan i recoger ciertos reales en poder de D. Domingo de la Cuesta, residente en el Real astillero de Guarnizo , como testamentario de D. Angel López Villalobos, quien dejó declarado en su testamento los debía al citado Josef Blanco. Ciencia del giro por D. Martin Brousin: en esta obra, escrita con método y sen cillez, se explica la regla conjunta y su aplicación á los cambios,: se da noticia de das monedas de cuenta…</t>
  </si>
  <si>
    <t>Villalpando, Manuel Rodríguez</t>
  </si>
  <si>
    <t>Manuel Rodríguez Villalpando</t>
  </si>
  <si>
    <t>…te la última guerra. Por otra de 24 det mismo mes se ha servido S. M. conceder a D. Cristó bal Asori, cirujano en la villa de Biar, partido de Jijona, en el reinó de Valencia, y á D. Manuel Rodríguez Villalpando, cirujano en la ciudad de Ubeda, el fuero militar yuso de uniforme de practicantes de cirugía de egército. ' Y por otra del mismo dia se ha servido conceder el fuero militar y usó de uniforme de médicos de número de egército á D. Josef Valero, médico titular…</t>
  </si>
  <si>
    <t>Villamil, Antonio Reguera</t>
  </si>
  <si>
    <t>Antonio Reguera Villamil</t>
  </si>
  <si>
    <t>…dirigido la ciudad de la Coruña al Ret nuestro Señor el discurso de felicitación siguiente, que tuvo la honra de po ner en manos de S. M. el diputado general del reino de Galicia D. Antonio Reguera Villamil. ,,Señor: La ciudad de la Coruña tiene el alto honor de presentar á V. M.</t>
  </si>
  <si>
    <t>Villamil, Cayetano Fernandez</t>
  </si>
  <si>
    <t>Cayetano Fernandez Villamil</t>
  </si>
  <si>
    <t>…exá menes de los alumnos de ellas en ios di as 1 y 2 del corriente mes por ma ñana y tarde. Dióse principio por un discurso alusivo al objeto , que teyó el primer maestro director D. Cayetano Fernandez Villamil. Fueron examinados en aritmética D. Juan Josef Dayovich , D. Angel Urzaiz, D. Bartolomé Martine?, D. Juan Antonio Novo, D. Alejandro Rodríguez , D. Francisco Santos, D. Francisco Calderón y D. Antonio Blanco. E11 geometría elemental el dicho D. Bartolomé Mart…</t>
  </si>
  <si>
    <t>Villanova, Tomas</t>
  </si>
  <si>
    <t>Tomas Villanova</t>
  </si>
  <si>
    <t>…la referida colección, hacierdó acerca de ellos muchas y atinadas pregun tas, que manifestaban los conocimientos de que se halla adornado S. M. en las ciencias naturales. El vice-profesor D. Tomas Villanova hizo una breve , cla ra y metódica exposícion-de dichos objetos, de la cual mostró quedar satis fecho S. M., como asimismo del buen estado en que se halla el Real gabinete. En seguida pasó S. M., acompañado del Excmo. Sr. capitán de Guardias y de los referido…</t>
  </si>
  <si>
    <t>Villarica, Vicente Berros</t>
  </si>
  <si>
    <t>Vicente Berros Villarica</t>
  </si>
  <si>
    <t>…el graduado D. Jorge Ricaurte: para la asesoría del gobierno é intendencia-de Popayán, á D. Miguel de Nájera Meneos; y para la subdelegacion de Tinta, en la provincia del Cuzco, á D. Vicente Berros Villarica. En atención á los méritos de D. Miguel García de la Vega, contador de resultas primero de segunda clase del tribunal de Cuentas de‘ Lima, se ha dig nado S. M. concederle los honores de contador mayor de él.</t>
  </si>
  <si>
    <t>Villaroel, Josef</t>
  </si>
  <si>
    <t>Josef Villaroel</t>
  </si>
  <si>
    <t>1078 Hacienda; D. Joaquín María Fetfrer,r p¡idttíít¿dfpiit¡acfb de Guipúzcoa; Don Josef Villaroel, cura de S.Pelayo; J^^ JosefJMaría Puj^valcalde del Crimen en Zaragoza; D. Ñicólás de Campos, asesor ae"correos en taHavana; D. Jo sef Parada, secretario de ^rrtbajkda; ehD: ^M'atías AgüiiáfV pirésbítero de Tenerife; D. Josef María, Borras, maesj^arit^de Vale…</t>
  </si>
  <si>
    <t>Villarroel, Josef Qbregon y</t>
  </si>
  <si>
    <t>Josef Qbregon y Villarroel</t>
  </si>
  <si>
    <t>…lo sucesivo en dicha persecución. • • - \ , El Rey nuestro Señor se ha servido promover con fecha de 15 del pa sado á alféreces de fragata de su Real armada á los guardias marinas D. Josef Qbregon y Villarroel, D. Quintín Sojo y Villasanta, D. Francisco Alvarez y Castillo, D. Leandro Báldesano y Aguirre, D. Beltran Riquelme y Novela, D. Carlos Butrón y Pareja y D. Francisco Miranda y Hoyos. Por providencia del Sr. 1&gt;. Manuel' Jósef Rubio, del Consejo de S. M., y te…</t>
  </si>
  <si>
    <t>Villasanta, Quintín Sojo y</t>
  </si>
  <si>
    <t>Quintín Sojo y Villasanta</t>
  </si>
  <si>
    <t>…n. • • - \ , El Rey nuestro Señor se ha servido promover con fecha de 15 del pa sado á alféreces de fragata de su Real armada á los guardias marinas D. Josef Qbregon y Villarroel, D. Quintín Sojo y Villasanta, D. Francisco Alvarez y Castillo, D. Leandro Báldesano y Aguirre, D. Beltran Riquelme y Novela, D. Carlos Butrón y Pareja y D. Francisco Miranda y Hoyos. Por providencia del Sr. 1&gt;. Manuel' Jósef Rubio, del Consejo de S. M., y te díente- corregidor de esta mu…</t>
  </si>
  <si>
    <t>Villaseñor, Eugenio</t>
  </si>
  <si>
    <t>Eugenio Villaseñor</t>
  </si>
  <si>
    <t>II23 mero 57.-D. Dámaso Santos 20. Núm. 58. El Excmo. Sr. marques de Santa Cruz 320. Núm. 59. D. Antonio Paño ico. Núm. óo. Doña Y- M. 20. Nú mero 61. D. Eugenio Villaseñor 200. Núm. 62. D. N. 320. Núm. 63. Don Manuel de Yela óo. Núm. 64. D. Gregorio ViiUvieja, cura de S. Josef de Madrid, por limosnas quede han dado dos feligreses suyos, 10c. Núm. 65 Miguel Fernandez, aguador de S. M., 20. Núm. 66. D. B. D. 300. Núm. 67. D. Pedr…</t>
  </si>
  <si>
    <t>Villaseñor, Josef Cristóbal</t>
  </si>
  <si>
    <t>Josef Cristóbal Villaseñor</t>
  </si>
  <si>
    <t>…Hilario Godoy, Manuel Colín, y el voluntario D. Felipe Tinajero. ,, Dios guarde ávmd. muchos años.,S.'Luis de la Paz Junio 10 de 1818.=: Epitacio Sánchez. = Sr. teniente coronel y comandante D. Josef Cristóbal Villaseñor.” Cádiz 30 de Diciembre. El Real consulado de esta plaza bien persuadido de los grandes y exten sos conocimientos que exige la honrosa profesión del comercio para dedicarse á ella con acierto y cordura; y de que en vano se pretende que una ciega rutina pueda…</t>
  </si>
  <si>
    <t>Villegas, Francisco de Quevedo y</t>
  </si>
  <si>
    <t>Francisco de Quevedo y Villegas</t>
  </si>
  <si>
    <t>…risdicción á D. Francisco Quevedo. Otra Real provisión con sus diligen cias expedida á 1.6 de Abril de 1630, refrendada de D Gregorio de Tapia, escribano de Cámara, á pedimento de D. Francisco de Quevedo y Villegas, sobre elección de oficios ae justicia, = Otro testimonio de' egecútoria y pose sión dada á D. Matias Ovejero. en hombre de D. Antonio Bustamante y Cetallos , como pon junta persona de Doña María de ,1a Portilla Cevalíosy Que— vedo, expedida en el mes de Juli…</t>
  </si>
  <si>
    <t>Villela, Ignacio Martínez de</t>
  </si>
  <si>
    <t>Ignacio Martínez de Villela</t>
  </si>
  <si>
    <t>…en su consecuencia la comunico á V. pa ra su inteligencia y cumplimiento en la parte que ie toca; y de su recibo est pero se sirva V. darme aviso. Madrid 26 de Noviembre de 1819. Don Ignacio Martínez de Villela, del Consejo y Cámara de Castilla, co misionado especial por S. M. para la averiguación del autor ó autores de la suplantación de las órdenes, que bajo la firma supuesta del señor inspector ^general de milicias marques de Villanueva de Duero, conde de Villari…</t>
  </si>
  <si>
    <t>Villena, Juan</t>
  </si>
  <si>
    <t>Juan Villena</t>
  </si>
  <si>
    <t>…m. 170. D. J. H. 120. Núm. 171. Doña M. B. iock N úm. 172. D. N. 20. Núm. 173. D. Cristóbal Sorribas 4a. Núm. 174. Doña Eusebia de N. 20. Núm. 175. Doña Isabel Simón 40. Núm. 176. D. Juan Villena 40. Núm. 177. D. S. R. 300. Núm. 178. D. F. R. 30. Núm. 179. D. B. Y. 40. Núm. 180. D. P. F. 60. Núm. 181. Doña MaríaVindel, viu da, 20. Núm. 182. D. Miguel Carrera 20. Núm. 183. D. N., feligrés de San Andrés, 100. Núm. 184. D. N. 4. Núm. 185. Ei Sr. D. Josef…</t>
  </si>
  <si>
    <t>Villena, Manuela Sagarra de</t>
  </si>
  <si>
    <t>Manuela Sagarra de Villena</t>
  </si>
  <si>
    <t>…s Sras. con desa viada de Via Manuel, camarera mayor habilitada para el acto; condesa viuda de Altamira y duquesa de Alagon, damas de la Reina nuestra Señora; las señoras de honor Doña Manuela Sagarra de Villena y Doña Francisca Taboada de Ariza; los mayordomos de semana marques de Ovieco; marques de Campovillar; D. Fernando Solís y Montoya; D Manuel Centurión , y D. Melchor Montoya; los 12 gentileshombres ae boca y casa D. Benito Pra do, el barón de Casa-Davalillos, D. Josef Navarro del Dos…</t>
  </si>
  <si>
    <t>Villoría, Josef Antelo y</t>
  </si>
  <si>
    <t>Josef Antelo y Villoría</t>
  </si>
  <si>
    <t>…o, .dominio de un oficio de regidor, perpetuo de la ciudad de Cuenca , otorgadas por D. Juan de Oronel Buril!o\ natural de ella, y residente en la villa de Guenaehe , en favor* de D. Josef Antelo y Villoría, presbítero de dicha ciudad de Cuenca.</t>
  </si>
  <si>
    <t>Villoría, Santiago Guzman de</t>
  </si>
  <si>
    <t>Santiago Guzman de Villoría</t>
  </si>
  <si>
    <t>…en siguiente: Condescendiendo el Rey nuestro Señor con la Solicitud que dirigió el Sr. D. Francisco Xavier Castaños * capitán general de Cataluña, de Doña Vi centa Frías, viuda de D. Santiago Guzman de Villoría, gobernador que fue de la plaza de Tortosa, y conforme al parecer del Consejo supremo de la Guerra, se ha dignado declarar indemne el honor y conducta de Villoría en el tiempo que estuvo de gobernador en dicha plaza, mandando se lp tenga por buen servidor de…</t>
  </si>
  <si>
    <t>Villota, Manuel Genaro de</t>
  </si>
  <si>
    <t>Manuel Genaro de Villota</t>
  </si>
  <si>
    <t>…eles los avi aos correspondientes- ARTICULO DE OFICIO. Ef Rey nuestro Señor se ha dignado nombrar para la plaza de regente de la Real audiencia de Charcas, vacante por renuncia de D. Manuel Genaro de Villota, á. D_ Manuel Josef de Reyes, oidor decano de ía misma audiencia: para la canongía penitenciaria de la santa iglesia catedral de Oajaca á Don Francisco María Ramírez, de Aguila*: para la canongía magistral de la santa iglesia metropolitana de Guatemala al Dr.…</t>
  </si>
  <si>
    <t>Viñas, Narciso</t>
  </si>
  <si>
    <t>Narciso Viñas</t>
  </si>
  <si>
    <t>…; en Tarragona; en ia-,dei . Dr. D. Juan Bautista Argués; • e,n Lérid 1 en 1a ide T¡&gt;:.'¡Antoíiip, Férrerí;. enjCervera. en la de D, .Josef Vicente. .Soler;en Gerona en la deí Dr. D. Narciso Viñas.; en Bilbao en la del fie. D. Juan Antonio de Ugaldey y en3^itoria en_la dejDr D. Cipriano María de Uribarri. _ ................... ... Fábulas de Fedro, libertó de Augusto, traducidas al castellano en verso y prosíXéqii el texto latino al lado, y la explicac…</t>
  </si>
  <si>
    <t>Vizcarrondo, Juan</t>
  </si>
  <si>
    <t>Juan Vizcarrondo</t>
  </si>
  <si>
    <t>…cajones de tabaco labrádo, 22 ídem de Hoja^ y 241 zurrones de grana y añil. * En el mismo día ha fondeado la goleta Transito, correo de la armada al mando del teniente:de fragata D. Juan Vizcarrondo, procedente de’Vexacruz; y la Havana., con la correspondencia de ^oficio y pública de las Américas. ' i, í Madrid rj) de Abril. , Señalado por eí Rey nuestro Señor el día 22 del mes pasado para que se hiciesen solemnes exequias en la iglesia de S. Francisco e…</t>
  </si>
  <si>
    <t>Vizuete, Diego Rodríguez</t>
  </si>
  <si>
    <t>Diego Rodríguez Vizuete</t>
  </si>
  <si>
    <t>…nuestro Señor se ha servido nombrar en el territorio de las Orde nes militares á D. Manuel Antonio Fernandez Garrido para la vara de alcalde mayor de la villa de Socuéllamos, y á D. Diego Rodríguez Vizuete para la de Usagre , ambas de primera clase. ; El Rey nuestro Señor se ha servido conferir el gobierno militar y político del Puerto de Sta. María al mariscal de campo D. Miguel Tacón: el de la pla za de Cardona ai coronel D. Ramón Gayan, teniente de rey de la…</t>
  </si>
  <si>
    <t>Vjllaseñor, Cristóbal</t>
  </si>
  <si>
    <t>Cristóbal Vjllaseñor</t>
  </si>
  <si>
    <t>…de idem ; D. Manuel Soriano, idem; D. Antonio Tuya, idem; D. Ramón Soto, sargento mayor del regi miento de la Puebla; D.-Francisco de Paula Landa, idem del de dragones de S. Luis; D. Cristóbal Vjllaseñor, capitán del de Sierragorda; D. Juan Bada joz, capitán del regimiento i.° americano; D. Juan .-Arguelles, teniente; del mismo: D. Martin Variandaran, capitán del regimiento de dragones del Prín cipe. ; Honores del tribunal de la Rota. A D. Lorenzo Ortega, can…</t>
  </si>
  <si>
    <t>Vlllanova, Tomas</t>
  </si>
  <si>
    <t>Tomas Vlllanova</t>
  </si>
  <si>
    <t>…ado solamente de su capitán de Guardias el Excelen tísimo Sr duque de Alagon, con el objeto de ver la colección de zoología que ha traído de Valencia el vice-profesor de este ramo D. Tomas Vlllanova. En el gabinete se hallaban para recibir á S. M, los Excmos. Sres. marques de Casa Irujo, primer secretario de Estado y del despacho universal, y el mar ques de Sta. Cruz, como protectores de aquel establecimiento. S. M. se enteró con la mayor atención y el m…</t>
  </si>
  <si>
    <t>W, J P.</t>
  </si>
  <si>
    <t>J P. W</t>
  </si>
  <si>
    <t>…greses, izf. Nún&gt;. 627. D. E. M. S. ico. Nú mero 628. D. N. 60. Núm. 629. Doña J. R. i.oo*--Núm. 630. D. A. M. G. 112 reales y 8 mrs. Núm. 631.^11 ílmoVSr. obrépo'i 5bo. Núm. 632. D. J P. W. 401 Nóm¿ 6331!):; J: S. 40. Núm. 634 -D; NU24. Núm. 63 5. D. F. X. L.&lt; 300. Núm. 636. El deán y cabildo de la santa iglesia metropolitana de Burgos 3®. Númf 637. Doña N. ióp. Núm. 638. El Ilmo.Sr. arzobispo obispo de Ba dajoz -*é; Núm. 639. D. A. B. C. un val…</t>
  </si>
  <si>
    <t>W-hffilebén</t>
  </si>
  <si>
    <t>…de medio dia en una silla' de postas cómun con dos caballos, y siguió su ruta en el mismo carruage. Venia S. M. con un vestido sencillo, sin decoración alguna, acom-&gt; panado^ ¡del general W-hffilebén y- de un 4acayó¿ Anticipadamente había dis pensado el Rey todo ceremonial; bien que por otra parte como S. M. tenia tanta prisa , y 4aei^a pásat e! Elba i en la noche siguiente por Cósdorf, tampo co había tiempo para- hacera á-'S^ Mv todos los obsequios debid…</t>
  </si>
  <si>
    <t>Wahlstadt, Blucher de</t>
  </si>
  <si>
    <t>Blucher de Wahlstadt</t>
  </si>
  <si>
    <t>…as mismas medidas de policía que se han adoptado aquí durante los alborotos que han ocurrido./ ■ ' ■■■• ■ PRUSIA. V # ’ ; • ,f( . Berlín 20 de Setiembre.; Elfdifunto feld-mariscal príncipe Blucher de Wahlstadt nació en Rostock á, 16 de Setiembre de 1742. Al ver de edad de 14 años unos húsares suecos de Pomerania se descubrió su afición á la milicia: sentó plaza al servicio de Sue cia; y. habiendo sidq hecho prisionero en su primera, campaña por un regi miento de hú…</t>
  </si>
  <si>
    <t>Wahlstatt, Blueher de</t>
  </si>
  <si>
    <t>Blueher de Wahlstatt</t>
  </si>
  <si>
    <t>…$scrUo.;| viuda de Blucher deWahlstatt Jajsiguíen^ te carta de pésame: &gt; . . He recibidor eoft, el m&amp;s profundo sentimiento la noticia del fallecimien to; de ,v,uestrP;.espg&gt;so:el príncipe Blueher de Wahlstatt; y aunque me-gea^ muy penoso renovar vuestro dolor recordándoos la; pérdida que habéis sufri do, me es imposible dejar de manifestaros la parte que en ello me tomo. La pa.tfÍa;.Uóra“OP?njÍigPf.l^ psiiéttft.d^ si?-: primer geneíaly eternamente, conser vará ind…</t>
  </si>
  <si>
    <t>Watíoh</t>
  </si>
  <si>
    <t>…Ehsmismo-uiinistro ha comunicado » orden t i ,los: desta camentos de caballería ligera de voluntarios para que esten formados en su cuartel general á las dos de la: fardé. - ¡ El doctor Watíoh ha dirigido una .carta al lord Sidmouth, preguntándole •en ella si es la intención ’ de los .ministros de S. M. interrumpir la pacifica ■reunión del pueblo en la- junta que debe verificarse el miércoles próximo, y sidejarán aL pueblo . retirarse pacíficamente…</t>
  </si>
  <si>
    <t>Watson</t>
  </si>
  <si>
    <t>…den has-; ta las cuatro de la tarde, que repentinamente prorumpió en gritos la muche dumbre al ver un carro precedida.de banderas. .Seguíale un coche de al* quiler, en que iban el doctor Watson, el zapatero Preston, el doctor Thist* lewood y algún otro de* la misma clase: di ó una vuelta por la plaza la, co mitiva,. y luego paró en el mismo sitio donde Hunt había arengado á la últi-f ma junta; en esta habría unas 5$ personas cuando mas, y muchos se…</t>
  </si>
  <si>
    <t>Wellington</t>
  </si>
  <si>
    <t>…solutamente ño tengan otro arbitrio, son los únicos que pueden pensar en venir á Sierra-Leona.” FRANCIA. Parts 12 de Diciembre. Ha estado á despedirse del Rey y de la familia Real lord Wellington* que sale mañana para Londres. El doctor Audouard, autor de una obra intitulada Investigaciones sobre el contagio de las calenturas intermitentes, ha publicado últimamente una memoria acerca de las congestiones sanguíneas del bazo , que son en su dictamen la…</t>
  </si>
  <si>
    <t>…rosas y complicadas Jas reclama ciones no solo de los súbditos ingleses, sino también las de otras naciones, que hubiera sido difícil concluir un arreglo difinitivo, si el ilustre lord Wellington no hubiese tomado á su cargo el asunto á solicitud de las partes interesa das, el cual quedó concluido pagando cierta suma la Francia á los diversos Gobiernos, encargándose estos de su distribución. Mr. Thierney felicitó al noble lord por la parte que había t…</t>
  </si>
  <si>
    <t>…l aniversario de la corona-, cion de su augusto Amaieoni lina función brillante 'que dió en su casa. El tribunal que entiende en la causa seguida sobre el proyectado asesinato del lord Wellington, ha declarado en sentencia de hoy por unanimidad de votos absueltos de tbdo cargo á los acusados, y en consecuencia han sido puestos en libertad. * : • Idem 16, { Con motivo de la salida de la nueva expedición inglesa destinada á des cubrir el paso por el-N:…</t>
  </si>
  <si>
    <t>…jetarse 4 la decisión de la Dieta de Francfort. Se asegura que van á aumentarse las fortificaciones de Maguncia y Goblentza; y también se habla de un plan , que suponen haber dado lord Wellington, par a establecer á orillas del Rbin nuevos puntos de défensá. ESPAÑA. Guadalajar a 13 de Setiembre. El día 5 del corriente los 14 ó 15; vecinos de que se compone la aldea de Valdepinillo, jurisdicción de la villa de Gaive, acometieron á tres ladro nes que se…</t>
  </si>
  <si>
    <t>…sa á Vierta á tratar con el príncipe Metternich asuntos de .mucha importancia , por haber tenido que restituirse repentinamente á Londres con motivo de los alborotos de Manchester lord Wellington , quien tenia la misma comisión. . ídem jo. . Varias personas dignas de crédito aseguran que los principales puntos^ acordados en Carlsbad son los siguientes: 1. ° El artículo 13 del acta de la Confederación se llevará á efecto antesde la época (ijada de comú…</t>
  </si>
  <si>
    <t>Wellingtotí</t>
  </si>
  <si>
    <t>…el tiro de un arma de fuego. - "! vr Marinet protestó eontra .la ilegaUdad de su: arresto :bajó el. pretexto .de la palabra de honor que le dieron el, íninistrprde; Policía y el -lord Wellingtotí i de qúe no se. le prendaria ;fá;ío que él. (presidente &gt; contestó. que esta promesa no er,a relativa ginq ai juicio de ^contumaciaportel que había sido condenado i muerte; pero quede ninguna^maiiera podía aplicarse al;nuevo delito, objeto de la presente acus…</t>
  </si>
  <si>
    <t>White</t>
  </si>
  <si>
    <t>…AÑA. Lóndres 30 de Marzo. El sábado en la noche llegó á esta capital el embajador de Argel, y se apeo en la fonda de Blake con sus secretarios y su comitiva. Inmediatamente fue el capitán White al palacio de Carlston á avisar al Príncipe Regente la llega da de S. E. Tiene el embajador unos 45 años de edad, aunque las barbas y el trage turco le hacen parecer mas viejo; llámase Ali-Reiss , y fue el que en Agos to de 1816, cuando el ataque de lord Exnt…</t>
  </si>
  <si>
    <t>Wilsoñ</t>
  </si>
  <si>
    <t>120</t>
  </si>
  <si>
    <t>…á varios oficiales ingleses del estado mayor de los insur gentes, que á cosja de muchas amenazas, y con gran dificultad:, han consegui do pasaportes para volverse á su patria. El general Wilsoñ y cuantos vienen de Venezuc4a -y otros países que han pretendido substraerse de la legítima-auto ridad d 1 Rey de España, dan noticias tristísimas acerca del carácter de aquella insensata revolución, y de.la miserable condición de los que militan alucinados b…</t>
  </si>
  <si>
    <t>121</t>
  </si>
  <si>
    <t>…de los mismos males; pero cada nueva noticia que se recibe confirma las que la precedieron, y acumuladas de este modo las pruebas, no dejan lu gar á.la menor duda. La relación del general Wilsoñ será sin duda la que mas fe rúerezca entre tos que se han alistado para servir en los egércitos revo lucionarios. Trotamos - que el Morning-ckr onicle de hoy contiene una carta de la Trinidad, en la que se dice sencillamente: „Se le ha permitido esca parse al…</t>
  </si>
  <si>
    <t>Wilspn</t>
  </si>
  <si>
    <t>120 ’ , &gt;,Ha llegado á esta ciudad el general Wilspn. en el bergantín Bryony pro cedente dé la Guayaná, en la -provincia de Venezuela , donde ha; mandado/ nn cuerpo de tropas inglesas, á las órdenes del gefe de la insurrección de aquel pais, y de donde á duras penas logró escaparse,"después de haber su frido en…</t>
  </si>
  <si>
    <t>Wirmbs, Bartolomé</t>
  </si>
  <si>
    <t>Bartolomé Wirmbs</t>
  </si>
  <si>
    <t>…, á 8.'= Obertura de da.Lódóuska para guitarra sola, á 8. nJema con variaciones de la ópera el Tancredo , par ra pianoforte, de D. A. Fernandez de Córdoba, á 6 rs., grabado por el profesor Don Bartolomé Wirmbs. Se hallarán en el despacho de música en la calle del Turco, y en el almacén de música en la carrera de S. Gerónimo, donde hay un completo sur tido de todas clases de música vocal é instrumental, nacional y extrangera- á precios arreglado?, y s.q admiten comi…</t>
  </si>
  <si>
    <t>…edicada á S. A. S. el Sr. Infante D. Francisco de Paula, por el maestro Don Angel Incenga, napolitano, grabado en partición, y estampado en papel de holanda de marca mayor, por el profesor D. Bartolomé Wirmbs, director del establecimien to de música puesto bajo la protección de la Real sociedad económica matritense. Se hallará en el despacho de dicho establecimiento, /calle del Turco, á 120 rs. Versos de D. Juan Bautista de Arriaza en ocasión de la muerte de la Re…</t>
  </si>
  <si>
    <t>Withworth</t>
  </si>
  <si>
    <t>…imar, y atri buyen su emigración á la esterilidad del suelo patrio y á las ventajas con que Ies brinda el Gobierno de Polonia. Idem 13. Se hacen mil conjeturas sobre la llegada de lord Withworth á París, y se ha dicho que venia á negocios diplomáticos; pero nada hay de cierto. Parece que el Rey honró al lord con su íntima amistad mientras estuvo S. M. habi tando el palacio de Hartwel en Inglaterra, y este antecedente bastaba para</t>
  </si>
  <si>
    <t>…lebrado ya algunas conferencias la comi sión nombrada para proponer ciertas medidas generales y uniformes para las universidades de Alemania*' ’’ &lt;&gt;’ •' : -i. rr •; Se asegura qué lord Withworth haCe ánimo de volver dentro de poco á Francia, y que lia tomado en arrendamiento por seis meses el palacio de Ollainville. '■/ ■ ~ Según la gaceta ministerial de Berliri tienén de población las provincias prusianas de Ja orilla izquierda del Rhin 1.907,773 pe…</t>
  </si>
  <si>
    <t>Wittgenstein</t>
  </si>
  <si>
    <t>…al comercio y á la navegación.” ' ; Idem i8l Por decreto de 11 de este mes se han hecho variaciones muy importantes en todos los ministerios. Accediendo ¡el Rey á la solicitud del príncipe Wittgenstein ha aceptado su dimisión del ministerio de Policía, reformando este departamento y reuniéndole al ministerio del Interior. Se ha conferido al príncipe Wittgensteiñ el ministerio de la casa y fami lia Real, y los negocios de’la corte y de los grandes oficiales…</t>
  </si>
  <si>
    <t>Witworth</t>
  </si>
  <si>
    <t>…para asistir á las sesiones del ministerio; pero ahora toma rá una parte activa en los negocios que en él se ventilen. ? : Escriben de Viena lo que sigueV,jí.a Llegada á París del lord Witworth da mucho que hablar en las tertulias de esta corte; y se asegura que el objetó de su misión se refiere á las relaciones políticas existentes entre la Francia y ia Puerta otomana.. r í ; ^ ' . t : 1 La (proclama que los autores de la conspiración contra el Emp…</t>
  </si>
  <si>
    <t>Witzleben</t>
  </si>
  <si>
    <t>…os obsequios debidos. Los dos Mo narcas se saludaron amistosamente, y á poco rato se sirvió la mesa, á la cual estaban convidados Mr. Jordán,■ ministro de Prusia en esta corte, el general Witzleben, Mr.de Einsiedeh, mitnstro de gabinete, y otros personages de los mas distinguidos de lacdrte. Una hora déspues de haber comido siguió el Rey de Prusia su vi a ge, y á una media, legua de Dresde se le agregó su'comitiva! Pocos días antes de esta visita se hab…</t>
  </si>
  <si>
    <t>Wllson</t>
  </si>
  <si>
    <t>…n los egércitos revo lucionarios. Trotamos - que el Morning-ckr onicle de hoy contiene una carta de la Trinidad, en la que se dice sencillamente: „Se le ha permitido esca parse al general Wllson.” Sin duda no desearía Bolívar que volviese á Ingla terra un sugeto de sus circunstancias á dar á conocer las tiránicas persecucio nes,que ha sufrido por parte de .los patriotas."t v Son tantos los.artificios1 que se ponen en fuso con el objeto de enganchar s…</t>
  </si>
  <si>
    <t>Wollhoger</t>
  </si>
  <si>
    <t>…t y Carlsruhe, quien tiene or den de asistir ai congreso que debe celebrarse en aquella ciudad, en calidad de segundo plenipotenciario de Prusia. Asimismojia salido para V iena el general Wollhoger, que está nombrado comisario especial para entender en los negocios militares de la Confederación, en lo que se ha ocupado desde que fue individuo de. la comisión militar cerca de la Dieta de Francfort. WURTEMBERG. Stuttgardt 14 de Noviembre. Aun no ha determ…</t>
  </si>
  <si>
    <t>Wrede</t>
  </si>
  <si>
    <t>…s, pues solamente volvió á la vida tiñóle los hijos de edad de 12 años. Se han puesto precipitadamente en camino para Munich el Príncipe Real, el príncipe Eugenio Beauharnois y el mariscal Wrede, á consecuencia de órdenes que han recibido del Rey de Baviera por correos extraordinarios, convocándoles á un consejo de Estado, que ha de presidir S. M. en persona, y donde se acordarán las instrucciones que se han de comunicar á los minis tros de Baviera q…</t>
  </si>
  <si>
    <t>Wurtemberg, Luis de</t>
  </si>
  <si>
    <t>Luis de Wurtemberg</t>
  </si>
  <si>
    <t>…La corte trata de obsequiar mucho aí embajador persa en esta capital. v- » Se da por cosa cierta el casamiento del Archiduque Palatino de Hungría con la Princesa Paulina, hija del duque Luis de Wurtemberg, tio del Rey actual: nací© la Princesa en el año de 1800, y está al presente en Italia en compañía de su madre. El Archiduque Palatino nació en 1776, y es viudot dos veces. PAISES-BA JOS-UNIDOS. Brusélas 24 de Enero. &lt;■ 1 Por decreto expedido en el mes de Dic…</t>
  </si>
  <si>
    <t>X, J. G.</t>
  </si>
  <si>
    <t>J. G. X</t>
  </si>
  <si>
    <t>…rr roquia de S. Luis'de Madrid , por limosnas. recibidasí d&amp;;sus^teli^esesi, 610. Nútn. 203. Du N. N. :6b. Núm, 204; B. J. M.dy:R*i&amp;QtrNS;m.?205. Doña 7N. y Doña -N. 2q. Núm. 206. D. J. G. X. 2oon Núm.' 2-67* D. Manuel Trasvina 2®. Núm. 208. Doña N. N. 4.0. Núm, 209K D. =A. A. de G. 200. Núm. 210. D.T. y maestro de obra prima, siis oficia les-y ribeteadora.} 140. Núm. 211. D. Francisco Perez 160. Núm.* 212. D. N. 60. Núm. 113. Don 7N. 20* Núm. 214…</t>
  </si>
  <si>
    <t>X, N.</t>
  </si>
  <si>
    <t>N. X</t>
  </si>
  <si>
    <t>…igreses &gt; 730. Núm. 11V. D. Gerónimo Bueno too, Nutn. 114. D. M. N. 20. Núm. 115. El señor'cura de S. Pedro de Madrid, de limosnas que le han dado sus feligreses, 26. Núme ro iió. D. N. X. 40. Nutn. 117. D. M. D. S. y D. 100. Núm. 118. Don E. C. 60. Núm. 119. D. M. C. y M.C. tres libramientos de intereses de va les Reales importantes 180 f rs. Núm. 120. El señor cura de S. Sebastian de Ma drid, por limosna de una feligresa suya., 1®. Núm. 121.D…</t>
  </si>
  <si>
    <t>X., F.</t>
  </si>
  <si>
    <t>F. X.</t>
  </si>
  <si>
    <t>…de dicho cuartel, 1389 rs.,y..8 mrs. Num-475. El Excmo. Sr. conde deíGuaqijiij.x®. Núm. 476. El señor cura de S. Sebas tian , por limosna recibida dé un ifcjligtes, 20. N4m. -477- D. F. X. Y. 20. Núm. 478. D- M. F, 1500. Núm- 479. í&gt;. Francisco Maldonado, visitador general de policía urbana de ésta muy heroica villa, 20. EL Excmo. Sr. duque de Frías ha contribuido con. 6© rs, que ha librado directamente por^í-misino .aMlmo- Sr. obispo de Cádiz eoi…</t>
  </si>
  <si>
    <t>Xa, Francisco</t>
  </si>
  <si>
    <t>Francisco Xa</t>
  </si>
  <si>
    <t>…,tes ;egemplares..de -las referidas exe quias, que apreciaron igualmente. .• &lt; r.-Aí i •:[?'. a oSc yo ■, ¿1 - i t¡ ‘ "'s* \ ■ • •' En atención'al distinguido; mérito del teniente general D. Francisco Xa vier Eiío^ capitán general'.del reino de Valencia, y á su constante desveló 'por l&amp;bbréñ dél‘Ré^l ser’éidó'^y de la tranquilidad pública, le ha concedido S. Mi lti grán ¿rü^dé* lá‘ Rtál j distinguida orden española de Carlos m. soB. ./A v ec-x . -- . - ■ ■- ;…</t>
  </si>
  <si>
    <t>…de la qué á todos Iesdebe caber con motivo tan lisonjero. Dios guarde á V* É. muchos años. Barcelona: 19 de Mayo de 1819.== Ex celentísimo Sr.=J. N. conde de Casa-Sarría;=s Excmo, Sr. D. Francisco Xa vier de Castaños/1 : * '• -</t>
  </si>
  <si>
    <t>Xaphma, Tedrn</t>
  </si>
  <si>
    <t>Tedrn Xaphma</t>
  </si>
  <si>
    <t>…ez, primer médico dé S. M. ,y presídeme de la academia, tuvo á bien dar comisiona, los Sres. JDon IFraWhco' Ruiz , D Ignacio Rifíz dé Luzuriñga, D. Ramón Llord, D. Blas -Llanos:, &lt;D. Tedrn Xaphma , D. ÍMañuel' Círsal y D. Vicente ‘Carrasco, paca r^ue ton todo esmero y prólifídad hiciesen dbsén?acfones sobre esta raíz;*y las -que ofrecen los que Kan terfido oea^ióíi de examinarla han correspondido en Afecto *4 las/espéMuafcas $r. Tiah^níl Va^s'-^tids'p…</t>
  </si>
  <si>
    <t>Xaplana, Diego</t>
  </si>
  <si>
    <t>Diego Xaplana</t>
  </si>
  <si>
    <t>…, director de ella, y se presentaron para ser examinados Jos «discípulos D. ^Antonio Fernandez Alvarez , D. Pedro Ramiro de la Cuesta y Cortés, D. ¿Nicolás Arias, D Josef Salcedo, D. Diego Xaplana , D. Juan Manuel Díaz, D.Josef A gudo Fernandez y D. ¿Francisco Drsolino; los cuales después de sorteado el orden con ;que débianaetüar, manifesr taran sobre el «encerado Ja parte teórica del :arte?que Íes cupo en suerte* con* testando .después;á todas Jas pr…</t>
  </si>
  <si>
    <t>Xavier, Francisco</t>
  </si>
  <si>
    <t>Francisco Xavier</t>
  </si>
  <si>
    <t>…overía'tierra parapara formadformar laáceqúiáía aceqüiá *&gt; váva áa levantarlevantar elel diquediq para llenarla de agUá^po^ la qué aspira.: Sí: nuestro dignísimo capitaii genejral D. Francisco Xavier de tjastaaóá, impacienté de ver los felices efectos dé fcus afanes y ¿estelos en promover el 'bien generaly ha* señalado él dia 15 dé este* mes para dar paso á las aguas que' éstaú' b atiéndolas compuertas de la acequia; y la junta al dar este aviso ál públic…</t>
  </si>
  <si>
    <t>…G. R. L. 160. Núm. 437. D. N. 40. Núm. 438. D. M. C. E. 100. Núm. 439. Dar ña J P. R. R. 100. Núm. 440. D. J. J C. 34. A‘imiimo se han suscrito las personas siguientes: Número 37. D. Francisco Xavier y su hijo D. Julián, durante ?a epide mia, con 30 rs. mensuales. Núm. 38. Doña C. F , por ídem, con 2 rs. dia rios, Núm. 39. D. Josef Liona y su consorte Doña Josefa Liona, por ídem, con 30 rs. mensuales. Núm. 40. D. Genaro Rivas y Losa, por iduu, con a reale…</t>
  </si>
  <si>
    <t>…e lós Rioi', del Conséjo ;de‘S. Mí, teniente corregidor de esta muy- heroica villa, por ante el escribano del número.D. Claudio Sanz. - , ; Por procidencia de 11 del corriente del Sr. D. Francisco Xavier dfc Ojeda, dol Cón^jo» dé-S.' M. en-él supremo de Hacienda', juez asesor general de ip Real Casa y Patrimonio ^ refrendada de; D. Alfonso del; Pozo, escribano de S. y solí Reales caballerizas, y para pago de acreedores, se ha mandado sacar a pública,subasta ,…</t>
  </si>
  <si>
    <t>Ximenez, Francisco</t>
  </si>
  <si>
    <t>Francisco Ximenez</t>
  </si>
  <si>
    <t>…por medio de procurador á decir de su derecho en la instancia pendiente ante S. S., y por, la escribanía del níímero del car go de D. Casimiro 'Antonio Gómez , sobre' reintegro á D. Francisco Ximenez de ¡Bagues de cinco vales de 300 pesos que tiene ¿reclamados por extraviados, que si vi niere se la oirá y administrará justicia en lo que la tuviere; y pasado que sea dicho término sin haber comparecido, y en su .ausencia y rebeldía, habida por presente, se…</t>
  </si>
  <si>
    <t>Ximenez, Ignacio</t>
  </si>
  <si>
    <t>Ignacio Ximenez</t>
  </si>
  <si>
    <t>…s de 21 de Mayo último, á consulta del Consejo supremo de la Guerra, se ha servido S. M. conceder á D. Antonio Ximenez Palazon, vecino de la villa de Fortuna, reino de Murcia, y á D. Ignacio Ximenez, establecido en la villa de Pedroáeras, en esta provincia, el fuero mi litar y uso de uniforme de practicantes de Farmacia de egército , en premio dé los servicios que han contraído en las:boticas militares de campaña durante la última guerra. ; &lt; Por otra de…</t>
  </si>
  <si>
    <t>Ximenez, Josef Castellani y</t>
  </si>
  <si>
    <t>Josef Castellani y Ximenez</t>
  </si>
  <si>
    <t>…y Barreda y D. Pedro Ponce y Riquelme. Con la de 8 de idem: D. Federico Vargas y Mathews, D. Francisco Vargas y Mathews, D. Cayetano Pilón y Tovalina, D. Calixto Paredes y Lardin, D. Josef Castellani y Ximenez , D- Francisco Nuñez y Pascual, D. Pedro Junquera y Velez, D. Josef Butrón y Butrón, Df Josef Rigada y ¡Llano y D. Esteban Hidalgo de Cisneros, . . ? Queriendo el Rey nuestro Señor recompensar los buenos servicios, distin guidos méritos é inconcusa fidelidad…</t>
  </si>
  <si>
    <t>Ximenez, Manuel</t>
  </si>
  <si>
    <t>Manuel Ximenez</t>
  </si>
  <si>
    <t>…contribuyentes y suscriptores para socorrer los pue blos afligidos con la epidemia. Número 38. D. Miguel Perez 2® rs. Núm. 39. Doña N. 100. Nóm. 40. D. Santiago Conde 60. Núm. 41. D. Manuel Ximenez 20. Núm. 42. Doña Manuela Alvarez 20. Núm. 43. D. Manuel Alemp.te 320. Núm. 44. Don Francisco Navarro, bordador, 60. Núm. 45. Los oficiales de D. Francisco Navarro, maestro bordador, 130. Núm. 46. D. Juan de Lecanda 100. Nú mero 47. D. Ramón Ramos y Poveda 10…</t>
  </si>
  <si>
    <t>Ximeno, Joaquín Almazan y</t>
  </si>
  <si>
    <t>Joaquín Almazan y Ximeno</t>
  </si>
  <si>
    <t>…N. F. Y. L. ciudad de Chin chilla, representada por los Sres. D. Juan María Ruano, alcalde.del crimen honorario'de la Real audiencia de Extremadura, y corregidor de dicha ciu dad; D. Joaquín Almazan y Ximeno, alcalde de Casa y. Corte, y el comi sario! honorario D. Vicente Peñalva y Pont, regidor perpetuo y decano del ayuntamiento de la villa de Onteniente, tuvo el particular honor de besar la Real mano y felicitar á S. M. por su augusto enlace, con cuyo motivo di…</t>
  </si>
  <si>
    <t>Ximeriez, Esteban</t>
  </si>
  <si>
    <t>Esteban Ximeriez</t>
  </si>
  <si>
    <t>…blicó en 1813 el Dr. D. Manuel Hernán dez de Gregorio, boticario de Cajera de $. M. Véndele pn la droguería de Trasvilía, calle de Postas, á 6 rs. , Arte de escribir compuesto por D. Esteban Ximeriez, siguiendo el método y buen gusto de D. Francisco Xavier'de Santiago Palomares, adornado con 17 muestras; un tomo en folio. Se hallará en la librería dé Hurtado, calle de Jas Carretas, á 26 rs. en pasta y 18 en rústica , y también se vende el cuaderno de mues…</t>
  </si>
  <si>
    <t>Xtmenez, Lorenzo</t>
  </si>
  <si>
    <t>Lorenzo Xtmenez</t>
  </si>
  <si>
    <t>…de espía que hacia cerca de ellos por disposición del gobernador de la provincia, la misma pensión. A Doña Francisca Mendo za, viuda del sargento primero de las milicias de Cumaná D. Lorenzo Xtmenez1, muerto en la acción de guerra tenida enMaturin. en 25 de Mayo del año de 13 , la pensión de 3 rs. diarios. A Doña María Sánchez de Torres, vecina fie Cumaná, y viuda de D. Gaspar Antonio Ballenilla, fusilado de orden del insurgente Marino, que lo aprisionó…</t>
  </si>
  <si>
    <t>Xurbe, Vicente</t>
  </si>
  <si>
    <t>Vicente Xurbe</t>
  </si>
  <si>
    <t>…y el capitán del mismo cuerpo Mauricio Terrero; como asi mismo los beneméritos capitanes del batallón de la Reina D. Juan Delgado y D. Pedro Gasals; los tenientes del mismo cuerpo D. Vicente Xurbe, D. Juan /</t>
  </si>
  <si>
    <t>Yarza, Miguel María de</t>
  </si>
  <si>
    <t>Miguel María de Yarza</t>
  </si>
  <si>
    <t>D. Josef Euíalío Ziozí, á D. Miguel María de Yarza, y para ía media ra ción de la iglesia metropolitana de Sta. Fe, vacante por fallecimiento de Don Juan Antonio Riaño, á D. Joaquín Pichó. A virtud de providencia del Sr. D. Manuel Josef Rubio, del Consejo de S. M., teniente corregidor de esta muy heroica vill…</t>
  </si>
  <si>
    <t>Yela, Manuel de</t>
  </si>
  <si>
    <t>Manuel de Yela</t>
  </si>
  <si>
    <t>…tos 20. Núm. 58. El Excmo. Sr. marques de Santa Cruz 320. Núm. 59. D. Antonio Paño ico. Núm. óo. Doña Y- M. 20. Nú mero 61. D. Eugenio Villaseñor 200. Núm. 62. D. N. 320. Núm. 63. Don Manuel de Yela óo. Núm. 64. D. Gregorio ViiUvieja, cura de S. Josef de Madrid, por limosnas quede han dado dos feligreses suyos, 10c. Núm. 65 Miguel Fernandez, aguador de S. M., 20. Núm. 66. D. B. D. 300. Núm. 67. D. Pedro Sedaño 200. Núm. 68 D. Cayetano Bautista 25. Núm. 6…</t>
  </si>
  <si>
    <t>Yévenes, Alfonso de</t>
  </si>
  <si>
    <t>Alfonso de Yévenes</t>
  </si>
  <si>
    <t>…dosa do otro de igual, valor, núm. 284298, fecha i,° de Enero de 1809, para que en el preciso término de 30 dias comparezcan en el juzgado de dicho señor teniente y es cribanía de.D. Alfonso de Yévenes á usar de su derecho acerca de los endosos de lo* referidos vales. El Paraíso perdido de J. Milton, poema ingles , traducido al castellano por eí Excmo. Sr. D. Benito Ramón de Hermida, y dado á luz pof su hija la marquesa de Sta. Coloma. Véndese en la librerí…</t>
  </si>
  <si>
    <t>…ra por ventajosa que sea: lo que se hace saber al público para que si algún arquitecto ó maes tro de obras quisiese -hacer mejora, y enterarse de los planos y condiciones, acuda á D. Alfonso de Yévenes, escribano del número de esta villa, y titular de la recibiduría de la orden de S. Juan, quien les dará las razones que ne cesiten. Se vende un censo de 193 279 rs. y 2 mrs. vn. de capital con réditos de dos y medio por ciento al ano, impuesto coñ faeulrad Re…</t>
  </si>
  <si>
    <t>…de Abril de.-;i82.a., tra tados en 84© rs. vn. anuales. Las personas,*que quieran hacer mejora y enterarse de las condiciones con qne.se ha celebrado^el ^prifner remata, acudan á D. Alfonso de Yévenes,.escribano.deí púmero ae esta-,JT titula? de, Ia.r®cihi.duría?defciiéha- óróen, quién las manifestará. ! ^ , * &gt;',v v,"' :'..b/ Ante el Sr. D. AmgeJ. Fernandez cfta* I&lt;^s. Ríos *. ‘CÓfasfejb* ‘de ‘S. ííí.V'teniente primero de corregidor de esta muy heroica .v…</t>
  </si>
  <si>
    <t>…orriente , á la hora dé las 1 a, én ja audiencia" del Sr. D. Angel Fernandez dé lps Ri.os&gt; del Consejo de S. M., ' te niente primero de corregidor de ésta muy hcroica villa , ante D. Alfonso de Yévenes, escribano del número .de ,ella. , / / ... .......... . r á Retórica epistolar , ó arte nuevo de escribir todo género de Cartas misivas y fa miliares , con egemplos de los autores mas célebres nacionales y extrangeros, pdr el Dr. D. Antonio Marques y Espejo :…</t>
  </si>
  <si>
    <t>Young, Cayetano Vivanco y</t>
  </si>
  <si>
    <t>Cayetano Vivanco y Young</t>
  </si>
  <si>
    <t>…Solís y González, D. Julián Giraldo y Molina, D. Joaquín Muñoz y Larraiñzár ¿ D; Salvador Hidalgo y Sarria, D. Juan Labastida y Bustamante, D. Vicénfe MazeyLizknn de Cano Manuel, D. Cayetano Vivanco y Young, D Josef Avila y Miranda, Don Antonio Ibañez y Ortega, D. Gregorio Aso Travieso, D. Mariano Fernan dez Tejeiro, D Bartolomé ,Gil de Padilla, D. Francisco Ugarte y Epalza, D. Jo«ef Ibañez y Ortega, D. Joaquín Gutiérrez Peña, D. Fernando Guerra de la Vega y Cal…</t>
  </si>
  <si>
    <t>Z, A.</t>
  </si>
  <si>
    <t>A. Z</t>
  </si>
  <si>
    <t>…Pías de S. An tonio Abad de Madrid 320. Núm. 395. El autor y compañía cómica del co liseo de la Cruz de esta,-corre 1500. Núm. 396. D. J. C. 20. Núm. 397. Do ña M. R. 8. Núm. 398. D. A. Z. 100. Núm. 399. Un señor eclesiástico 160. Núm. 400. Doña M. R. 80. Núin. 401. D. B. P. 40. Núm. 402. D. A. L. 120. Núm 403. D: B. J F. 120. Núm. 404. D. M. y R. óo. Núm. 403. Los señores cuestores del cuartel de Maravillas, por resto de la demanda de su cuart…</t>
  </si>
  <si>
    <t>Z, A. R.</t>
  </si>
  <si>
    <t>A. R. Z</t>
  </si>
  <si>
    <t>…F. F. C. 320 rs. y 24 mrs Núm. 155. El Excmo. Sr. Nuncio de S. S. 1®. Núm. 156. D. J. Y. A. 320. Núm* 157. D. J. L. T. 60. Núm. 158. Doña N. 6. Núm. 159. Doña F. V* 100. Núm. ióq. D. A. R. Z. 100. Núm. 161. D. J. A. A. 120. Nú mero 162. D. N. 320. Núm. 163. D. F. F. 60. Núm. 164. D. N. N. 133. Núm. ió$. Pablo de la Cuesta 10. Núm. 166. D. Josef María de Pando 500. Núm. 167. D. K. Z. 20. Núm. 168. D. J. J, J. 332 rs. y 32 mrs. Núme ro 169. D. M. P.…</t>
  </si>
  <si>
    <t>Z, K.</t>
  </si>
  <si>
    <t>K. Z</t>
  </si>
  <si>
    <t>…Núm. 161. D. J. A. A. 120. Nú mero 162. D. N. 320. Núm. 163. D. F. F. 60. Núm. 164. D. N. N. 133. Núm. ió$. Pablo de la Cuesta 10. Núm. 166. D. Josef María de Pando 500. Núm. 167. D. K. Z. 20. Núm. 168. D. J. J, J. 332 rs. y 32 mrs. Núme ro 169. D. M. P. 20. Núm. 170. D. J. H. 120. Núm. 171. Doña M. B. iock N úm. 172. D. N. 20. Núm. 173. D. Cristóbal Sorribas 4a. Núm. 174. Doña Eusebia de N. 20. Núm. 175. Doña Isabel Simón 40. Núm. 176. D. Juan…</t>
  </si>
  <si>
    <t>Z, M.</t>
  </si>
  <si>
    <t>M. Z</t>
  </si>
  <si>
    <t>…600 rs. vn. Núm. 2° D. N. 500. Nú mero v° D. Francisco íernandez Vega 120. Núm. 4.0 D. Torcuato Torio de la Riva 300. Núm. 5.0 Doña N. 40. Núm. 6° D. N. 121 rs. y 22 mrs. Núm. 7.0 D. M. Z. 320. Núm. B.° D. N.112. Núm. 9;° D N. 320 rs. y 24 mrs. Núm. 10. D. N. 100. Núm. n. D. Josef Valls de Roca 200. Nú mero 12. Doña N., viuda, 20. Núm. 13. D. N. 100. Núm: i4. D. N. 20. Nú mero 15. Doña Feliciana de Arza 120. Núm. 16. El brigadier Beza óo. Núme…</t>
  </si>
  <si>
    <t>Zafra, Josef Hermenegildo de</t>
  </si>
  <si>
    <t>Josef Hermenegildo de Zafra</t>
  </si>
  <si>
    <t>…, á 2 rs. Colección de muestras para aprender á escribir el carácter bastardo, compuesta de 14 láminas por el orden y método mas sencillo que prescribe la enseñanza, es critas por D. Josef Hermenegildo de Zafra, profesor de primeras letras, individuo del Real colegio académico de primera educación de la Real junta de exámenes de la corte, y revisor de letras y firmas sospechosas por el supremo Consejo de Castilla. Se hallará en la librería de Gila, calle de las Carr…</t>
  </si>
  <si>
    <t>Zaldivar, Manuel de</t>
  </si>
  <si>
    <t>Manuel de Zaldivar</t>
  </si>
  <si>
    <t>…. en intereses de vales Reales. Núm. 411 D N. 60. Núm. 412. Eí Excmo. Sr. conde de Sámago 400. Nú mero 413. D F. D. C. M. 271. Núm. 414. D. D N. 200. Núm. 415. Don N. r6o. Núm 416 D. Manuel de Zaldivar 100. Núm. 417. El señor cura de S. Sebastian de Madrid, por limosnas recibidas de sus feligreses, 60. Número 418. D. N. 20. Núm. 419. D. Ramón Cazcarro, de la congregación de San Felipe Ncri de esta corre, 320. Núm. 420. D. M 112 rs. y 8 'mrs. Número 421. D.…</t>
  </si>
  <si>
    <t>Zaragoza, A. P.</t>
  </si>
  <si>
    <t>A. P. Zaragoza</t>
  </si>
  <si>
    <t>…de Rey Ro mero ; en Barcelona á la de Oliva; en Zaragoza, á casa de D. Pedro Marín, del comercio, y en Valencia á la de Navarro. Wáis tirolés con variaciones para guitarra sola de D. A. P. Zaragoza, á 12 tsí £= Tema con variaciones para guitarra sola desdicho autor, á 8.'= Obertura de da.Lódóuska para guitarra sola, á 8. nJema con variaciones de la ópera el Tancredo , par ra pianoforte, de D. A. Fernandez de Córdoba, á 6 rs., grabado por el profesor Don…</t>
  </si>
  <si>
    <t>Zarate, Fernando de</t>
  </si>
  <si>
    <t>Fernando de Zarate</t>
  </si>
  <si>
    <t>…ndación de una me moria de misas y limosnas fundadas por sí y su marido en la iglesia parro quial de S. Gines, con otros varios documentos que corresponden al mayo razgo que fundó D. Fernando de Zarate. 16. Escritura de concierto y transacion, otorgada por Juan de Reinoso y Catalina Rodríguez su muger, viuda de primeras nupcias de Matías de San tiago , y por Alonso Perez é Isabel de Santiago su muger , hija de D. Matías y de Doña Catalina., por la cual deci…</t>
  </si>
  <si>
    <t>Zengotita, Joaquín de</t>
  </si>
  <si>
    <t>Joaquín de Zengotita</t>
  </si>
  <si>
    <t>…:*, bajo apercibimiento dt» que en su defecto se declararáti por herederos únicos abint^stato del expresado D. josef María Barry ^us demas hermanos y sobrino.' Por providencia del Sr. D. Joaquín de Zengotita, del Consejo de S. M., corre gidor y subdelegado de rentas Reales y pósitos de Alcalá de Henares y su partido, y ante escribano de su número Mariano Martin, se vendé á pública subasta, á vir tud de orden del Excmo. Sr. súperihtéñdénte general de Pósitos del r…</t>
  </si>
  <si>
    <t>…ntestada , y en su ausencia y rebeldía seguirán los autos en los estrados ha^ta ia sentencia definitiva, causándole cuanto se actúe el perjuicio que haya lugar Por providencia del Sr. D. Joaquín de Zengotita, del Consejo de S M. , corre gidor y subdelegado de Rentas Reales y pósitos de la ciudad de Alcalá de Henar ^ y su partido, y ante el escribano de número Mariano Mardn Esperanza, se vende á pú blica subasta á virtud de orden del Exorno. Sr. superintendente ge…</t>
  </si>
  <si>
    <t>Ziozí, Josef Euíalío</t>
  </si>
  <si>
    <t>Josef Euíalío Ziozí</t>
  </si>
  <si>
    <t>D. Josef Euíalío Ziozí, á D. Miguel María de Yarza, y para ía media ra ción de la iglesia metropolitana de Sta. Fe, vacante por fallecimiento de Don Juan Antonio Riaño, á D. Joaquín Pichó. A virtud de providencia del Sr. D. Manuel Josef Rubio, del Consejo de S. M., teniente corregi…</t>
  </si>
  <si>
    <t>Zorrilla, Manuel Rufino García</t>
  </si>
  <si>
    <t>Manuel Rufino García Zorrilla</t>
  </si>
  <si>
    <t>…xámenes públi cos en la sala consistorial de dicha villa, siendo examinadores los párrocos y los prelados de las dos comunidades que hay en ella. Presidió este acto el licen ciado D. Manuel Rufino García Zorrilla, corregidor de la misma y su partido, y asistieron á él convidados por el ayuntamiento los clérigos de ambos cabil dos , los religiosos y otras muchas personas de la primera distincioci del pueblo. Eos alumnos de las clases menores se presentaron con despejo…</t>
  </si>
  <si>
    <t>Zubiaur, Josefa Teresa de</t>
  </si>
  <si>
    <t>Josefa Teresa de Zubiaur</t>
  </si>
  <si>
    <t>…tales de otros establecimientos prac ticaron , 7 por cuanto tiempo. Se desea saber el paradero de Doña Florentina de Sabatini y Zublaur, hija legí tima de D. Antonio Sabatini y de Doña Josefa Teresa de Zubiaur, vecinos de esta corte, que al tiempo de la invasión de los franceses en 1808 estaba como huérfana de padre y madre ai cargo de D. Francisco Vázquez Somoza , del Real cuerpo de guar dias de Corps en la compañía Española, desdé cuya época no se sabe adonde par…</t>
  </si>
  <si>
    <t>Zublaur, Florentina de Sabatini y</t>
  </si>
  <si>
    <t>Florentina de Sabatini y Zublaur</t>
  </si>
  <si>
    <t>…franqueándolos el correo, y ex presando su edad, años de egercicio , en qué hospitales de otros establecimientos prac ticaron , 7 por cuanto tiempo. Se desea saber el paradero de Doña Florentina de Sabatini y Zublaur, hija legí tima de D. Antonio Sabatini y de Doña Josefa Teresa de Zubiaur, vecinos de esta corte, que al tiempo de la invasión de los franceses en 1808 estaba como huérfana de padre y madre ai cargo de D. Francisco Vázquez Somoza , del Real cuerpo de guar dia…</t>
  </si>
  <si>
    <t>Zumora, Mariano García</t>
  </si>
  <si>
    <t>Mariano García Zumora</t>
  </si>
  <si>
    <t>…Ofreció el sacrosanto .sacrificio en él primer día el Dr, D. Eugenio García, canónigo dignidad de arcediano de Cartagena., é-hizpjél digno elogio de las virtudes de S. M. 'el Dr. D. Mariano García Zumora, igual dignidad de arcediano de Vi llena* En el segundo ofició el -Sr. D. Manuel Gómez de M,orales, que lo es también de Lorca \y el orador fue el R. P. Er. Josef Alcaraz, predicador conventual en el Real de S. Diego, extramuros de esta ciudad ; y en el terce…</t>
  </si>
  <si>
    <t>Zurita, Gerónimo de</t>
  </si>
  <si>
    <t>Gerónimo de Zurita</t>
  </si>
  <si>
    <t>…los autores romanos solos, hazañas posteriores de los cántabros por mar, y respuesta apologética á todos ios puntos en que se ha des dorado el ilustre nombre de las Vizcayas desde D. Gerónimo de Zurita, analista del reino de Aragón, hasta el R. P. M. Fr. Henrique Flores, ex-asistente general del or den de S. Agustín, por D. Josef Hipólito de üzaeta y Gallaistegui: un tomo en 4.0 Véndese en la librería de Barco, calle de la Cruz, á 12 rs. en rústica y 16 en…</t>
  </si>
  <si>
    <t>Fuentes oficiales y criterio de elaboración · 1819</t>
  </si>
  <si>
    <t>159 archivos · 1312 páginas · enlaces al facsímil oficial</t>
  </si>
  <si>
    <t>Archivo</t>
  </si>
  <si>
    <t>Páginas PDF</t>
  </si>
  <si>
    <t>Registros del índice</t>
  </si>
  <si>
    <t>Facsímil completo</t>
  </si>
  <si>
    <t>GMD-1819-1.pdf</t>
  </si>
  <si>
    <t>GMD-1819-2.pdf</t>
  </si>
  <si>
    <t>GMD-1819-3.pdf</t>
  </si>
  <si>
    <t>GMD-1819-4.pdf</t>
  </si>
  <si>
    <t>GMD-1819-5.pdf</t>
  </si>
  <si>
    <t>GMD-1819-6.pdf</t>
  </si>
  <si>
    <t>GMD-1819-7.pdf</t>
  </si>
  <si>
    <t>GMD-1819-8.pdf</t>
  </si>
  <si>
    <t>GMD-1819-9.pdf</t>
  </si>
  <si>
    <t>GMD-1819-10.pdf</t>
  </si>
  <si>
    <t>GMD-1819-11.pdf</t>
  </si>
  <si>
    <t>GMD-1819-12.pdf</t>
  </si>
  <si>
    <t>GMD-1819-13.pdf</t>
  </si>
  <si>
    <t>GMD-1819-14.pdf</t>
  </si>
  <si>
    <t>GMD-1819-15.pdf</t>
  </si>
  <si>
    <t>GMD-1819-16.pdf</t>
  </si>
  <si>
    <t>GMD-1819-17.pdf</t>
  </si>
  <si>
    <t>GMD-1819-18.pdf</t>
  </si>
  <si>
    <t>GMD-1819-19.pdf</t>
  </si>
  <si>
    <t>GMD-1819-20.pdf</t>
  </si>
  <si>
    <t>GMD-1819-21.pdf</t>
  </si>
  <si>
    <t>GMD-1819-22.pdf</t>
  </si>
  <si>
    <t>GMD-1819-23.pdf</t>
  </si>
  <si>
    <t>GMD-1819-24.pdf</t>
  </si>
  <si>
    <t>GMD-1819-25.pdf</t>
  </si>
  <si>
    <t>GMD-1819-26.pdf</t>
  </si>
  <si>
    <t>GMD-1819-27.pdf</t>
  </si>
  <si>
    <t>GMD-1819-28.pdf</t>
  </si>
  <si>
    <t>GMD-1819-29.pdf</t>
  </si>
  <si>
    <t>GMD-1819-30.pdf</t>
  </si>
  <si>
    <t>GMD-1819-31.pdf</t>
  </si>
  <si>
    <t>GMD-1819-32.pdf</t>
  </si>
  <si>
    <t>GMD-1819-33.pdf</t>
  </si>
  <si>
    <t>GMD-1819-34.pdf</t>
  </si>
  <si>
    <t>GMD-1819-35.pdf</t>
  </si>
  <si>
    <t>GMD-1819-36.pdf</t>
  </si>
  <si>
    <t>GMD-1819-37.pdf</t>
  </si>
  <si>
    <t>GMD-1819-38.pdf</t>
  </si>
  <si>
    <t>GMD-1819-39.pdf</t>
  </si>
  <si>
    <t>GMD-1819-40.pdf</t>
  </si>
  <si>
    <t>GMD-1819-41.pdf</t>
  </si>
  <si>
    <t>GMD-1819-42.pdf</t>
  </si>
  <si>
    <t>GMD-1819-43.pdf</t>
  </si>
  <si>
    <t>GMD-1819-44.pdf</t>
  </si>
  <si>
    <t>GMD-1819-45.pdf</t>
  </si>
  <si>
    <t>GMD-1819-46.pdf</t>
  </si>
  <si>
    <t>GMD-1819-47.pdf</t>
  </si>
  <si>
    <t>GMD-1819-48.pdf</t>
  </si>
  <si>
    <t>GMD-1819-49.pdf</t>
  </si>
  <si>
    <t>GMD-1819-50.pdf</t>
  </si>
  <si>
    <t>GMD-1819-51.pdf</t>
  </si>
  <si>
    <t>GMD-1819-52.pdf</t>
  </si>
  <si>
    <t>GMD-1819-53.pdf</t>
  </si>
  <si>
    <t>GMD-1819-54.pdf</t>
  </si>
  <si>
    <t>GMD-1819-55.pdf</t>
  </si>
  <si>
    <t>GMD-1819-56.pdf</t>
  </si>
  <si>
    <t>GMD-1819-57.pdf</t>
  </si>
  <si>
    <t>GMD-1819-58.pdf</t>
  </si>
  <si>
    <t>GMD-1819-59.pdf</t>
  </si>
  <si>
    <t>GMD-1819-60.pdf</t>
  </si>
  <si>
    <t>GMD-1819-61.pdf</t>
  </si>
  <si>
    <t>GMD-1819-62.pdf</t>
  </si>
  <si>
    <t>GMD-1819-63.pdf</t>
  </si>
  <si>
    <t>GMD-1819-64.pdf</t>
  </si>
  <si>
    <t>GMD-1819-65.pdf</t>
  </si>
  <si>
    <t>GMD-1819-66.pdf</t>
  </si>
  <si>
    <t>GMD-1819-67.pdf</t>
  </si>
  <si>
    <t>GMD-1819-68.pdf</t>
  </si>
  <si>
    <t>GMD-1819-69.pdf</t>
  </si>
  <si>
    <t>GMD-1819-70.pdf</t>
  </si>
  <si>
    <t>GMD-1819-71E.pdf</t>
  </si>
  <si>
    <t>GMD-1819-72.pdf</t>
  </si>
  <si>
    <t>GMD-1819-73.pdf</t>
  </si>
  <si>
    <t>GMD-1819-74.pdf</t>
  </si>
  <si>
    <t>GMD-1819-75.pdf</t>
  </si>
  <si>
    <t>GMD-1819-76.pdf</t>
  </si>
  <si>
    <t>GMD-1819-77.pdf</t>
  </si>
  <si>
    <t>GMD-1819-78.pdf</t>
  </si>
  <si>
    <t>GMD-1819-79.pdf</t>
  </si>
  <si>
    <t>GMD-1819-80.pdf</t>
  </si>
  <si>
    <t>GMD-1819-81.pdf</t>
  </si>
  <si>
    <t>GMD-1819-82.pdf</t>
  </si>
  <si>
    <t>GMD-1819-83.pdf</t>
  </si>
  <si>
    <t>GMD-1819-84.pdf</t>
  </si>
  <si>
    <t>GMD-1819-85.pdf</t>
  </si>
  <si>
    <t>GMD-1819-86.pdf</t>
  </si>
  <si>
    <t>GMD-1819-87.pdf</t>
  </si>
  <si>
    <t>GMD-1819-88.pdf</t>
  </si>
  <si>
    <t>GMD-1819-89.pdf</t>
  </si>
  <si>
    <t>GMD-1819-90.pdf</t>
  </si>
  <si>
    <t>GMD-1819-91.pdf</t>
  </si>
  <si>
    <t>GMD-1819-92.pdf</t>
  </si>
  <si>
    <t>GMD-1819-93.pdf</t>
  </si>
  <si>
    <t>GMD-1819-94.pdf</t>
  </si>
  <si>
    <t>GMD-1819-95.pdf</t>
  </si>
  <si>
    <t>GMD-1819-96.pdf</t>
  </si>
  <si>
    <t>GMD-1819-97.pdf</t>
  </si>
  <si>
    <t>GMD-1819-98.pdf</t>
  </si>
  <si>
    <t>GMD-1819-99.pdf</t>
  </si>
  <si>
    <t>GMD-1819-100.pdf</t>
  </si>
  <si>
    <t>GMD-1819-101.pdf</t>
  </si>
  <si>
    <t>GMD-1819-102.pdf</t>
  </si>
  <si>
    <t>GMD-1819-103.pdf</t>
  </si>
  <si>
    <t>GMD-1819-104.pdf</t>
  </si>
  <si>
    <t>GMD-1819-105.pdf</t>
  </si>
  <si>
    <t>GMD-1819-107E.pdf</t>
  </si>
  <si>
    <t>GMD-1819-108.pdf</t>
  </si>
  <si>
    <t>GMD-1819-109.pdf</t>
  </si>
  <si>
    <t>GMD-1819-110.pdf</t>
  </si>
  <si>
    <t>GMD-1819-111.pdf</t>
  </si>
  <si>
    <t>GMD-1819-112.pdf</t>
  </si>
  <si>
    <t>GMD-1819-113.pdf</t>
  </si>
  <si>
    <t>GMD-1819-114E.pdf</t>
  </si>
  <si>
    <t>GMD-1819-115.pdf</t>
  </si>
  <si>
    <t>GMD-1819-116.pdf</t>
  </si>
  <si>
    <t>GMD-1819-117.pdf</t>
  </si>
  <si>
    <t>GMD-1819-118.pdf</t>
  </si>
  <si>
    <t>GMD-1819-119.pdf</t>
  </si>
  <si>
    <t>GMD-1819-120.pdf</t>
  </si>
  <si>
    <t>GMD-1819-121.pdf</t>
  </si>
  <si>
    <t>GMD-1819-122.pdf</t>
  </si>
  <si>
    <t>GMD-1819-123.pdf</t>
  </si>
  <si>
    <t>GMD-1819-124.pdf</t>
  </si>
  <si>
    <t>GMD-1819-125.pdf</t>
  </si>
  <si>
    <t>GMD-1819-126.pdf</t>
  </si>
  <si>
    <t>GMD-1819-127.pdf</t>
  </si>
  <si>
    <t>GMD-1819-128.pdf</t>
  </si>
  <si>
    <t>GMD-1819-129.pdf</t>
  </si>
  <si>
    <t>GMD-1819-130.pdf</t>
  </si>
  <si>
    <t>GMD-1819-131E.pdf</t>
  </si>
  <si>
    <t>GMD-1819-132.pdf</t>
  </si>
  <si>
    <t>GMD-1819-133.pdf</t>
  </si>
  <si>
    <t>GMD-1819-134.pdf</t>
  </si>
  <si>
    <t>GMD-1819-135.pdf</t>
  </si>
  <si>
    <t>GMD-1819-136.pdf</t>
  </si>
  <si>
    <t>GMD-1819-137.pdf</t>
  </si>
  <si>
    <t>GMD-1819-138.pdf</t>
  </si>
  <si>
    <t>GMD-1819-139.pdf</t>
  </si>
  <si>
    <t>GMD-1819-140.pdf</t>
  </si>
  <si>
    <t>GMD-1819-141.pdf</t>
  </si>
  <si>
    <t>GMD-1819-142.pdf</t>
  </si>
  <si>
    <t>GMD-1819-143.pdf</t>
  </si>
  <si>
    <t>GMD-1819-144.pdf</t>
  </si>
  <si>
    <t>GMD-1819-145.pdf</t>
  </si>
  <si>
    <t>GMD-1819-146.pdf</t>
  </si>
  <si>
    <t>GMD-1819-147.pdf</t>
  </si>
  <si>
    <t>GMD-1819-148.pdf</t>
  </si>
  <si>
    <t>GMD-1819-149.pdf</t>
  </si>
  <si>
    <t>GMD-1819-150.pdf</t>
  </si>
  <si>
    <t>GMD-1819-151.pdf</t>
  </si>
  <si>
    <t>GMD-1819-152.pdf</t>
  </si>
  <si>
    <t>GMD-1819-153.pdf</t>
  </si>
  <si>
    <t>GMD-1819-154.pdf</t>
  </si>
  <si>
    <t>GMD-1819-155.pdf</t>
  </si>
  <si>
    <t>GMD-1819-156.pdf</t>
  </si>
  <si>
    <t>GMD-1819-157.pdf</t>
  </si>
  <si>
    <t>GMD-1819-158.pdf</t>
  </si>
  <si>
    <t>GMD-1819-159.pdf</t>
  </si>
  <si>
    <t>GMD-1819-160.pdf</t>
  </si>
  <si>
    <t>Criterios, alcance y limitaciones</t>
  </si>
  <si>
    <t>Cobertura</t>
  </si>
  <si>
    <t>Se incluyen los 159 archivos localizados en la hemeroteca oficial entre el 1 de enero y el 31 de diciembre de 1819, incluidas 4 ediciones extraordinarias.</t>
  </si>
  <si>
    <t>Cabeceras</t>
  </si>
  <si>
    <t>Gaceta de Madrid (159 archivos).</t>
  </si>
  <si>
    <t>Numeración</t>
  </si>
  <si>
    <t>La numeración y las 4 ediciones extraordinarias se distinguen en la columna de publicación.</t>
  </si>
  <si>
    <t>Inclusión</t>
  </si>
  <si>
    <t>Se recogen nombres propios detectados tras tratamientos, cargos y títulos. Una misma persona puede aparecer varias veces en una página cuando el OCR ofrece variantes; dentro de cada página se eliminan duplicados idénticos.</t>
  </si>
  <si>
    <t>Orden</t>
  </si>
  <si>
    <t>La primera columna propone un orden por apellido estimado. En nombres extranjeros, nobiliarios o deteriorados por el OCR, el orden puede no coincidir con el uso catalográfico.</t>
  </si>
  <si>
    <t>Se muestra la página impresa cuando el encabezado pudo leerse con suficiente claridad; en caso contrario se indica la página interna del PDF.</t>
  </si>
  <si>
    <t>Enlaces</t>
  </si>
  <si>
    <t>Cada registro abre directamente el PDF oficial en la página interna correspondiente; la hoja de fuentes enlaza también el documento completo.</t>
  </si>
  <si>
    <t>OCR</t>
  </si>
  <si>
    <t>La ortografía histórica y los defectos de impresión producen variantes, cortes y errores. El extracto original permite valorar cada lectura sin ocultar esa incertidumbre.</t>
  </si>
  <si>
    <t>Uso recomendado</t>
  </si>
  <si>
    <t>Para citas académicas, jurídicas o genealógicas, comprobar siempre nombre, fecha y página en el facsímil enlazado.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</si>
</sst>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quot;de&quot;\ mmmm\ &quot;de&quot;\ yyyy"/>
  </numFmts>
  <fonts count="11">
    <font>
      <sz val="11"/>
      <name val="Carlito"/>
    </font>
    <font>
      <b/>
      <sz val="18"/>
      <color rgb="FFFFFFFF"/>
      <name val="Calibri"/>
      <family val="2"/>
    </font>
    <font>
      <sz val="11"/>
      <color rgb="FF1F1F1F"/>
      <name val="Calibri"/>
      <family val="2"/>
    </font>
    <font>
      <b/>
      <sz val="10"/>
      <color rgb="FF7F6000"/>
      <name val="Calibri"/>
      <family val="2"/>
    </font>
    <font>
      <b/>
      <sz val="10"/>
      <color rgb="FF375623"/>
      <name val="Calibri"/>
      <family val="2"/>
    </font>
    <font>
      <b/>
      <sz val="10"/>
      <color rgb="FFFFFFFF"/>
      <name val="Calibri"/>
      <family val="2"/>
    </font>
    <font>
      <sz val="9"/>
      <name val="Calibri"/>
      <family val="2"/>
    </font>
    <font>
      <sz val="11"/>
      <name val="Calibri"/>
      <family val="2"/>
    </font>
    <font>
      <b/>
      <sz val="11"/>
      <color rgb="FFFFFFFF"/>
      <name val="Arial"/>
      <family val="2"/>
    </font>
    <font>
      <b/>
      <sz val="10"/>
      <color rgb="FF1F4E78"/>
      <name val="Arial"/>
      <family val="2"/>
    </font>
    <font>
      <sz val="10"/>
      <color rgb="FF000000"/>
      <name val="Arial"/>
      <family val="2"/>
    </font>
  </fonts>
  <fills count="10">
    <fill>
      <patternFill patternType="none"/>
    </fill>
    <fill>
      <patternFill patternType="gray125"/>
    </fill>
    <fill>
      <patternFill patternType="solid">
        <fgColor rgb="FF1F4E78"/>
      </patternFill>
    </fill>
    <fill>
      <patternFill patternType="solid">
        <fgColor rgb="FFD9EAF7"/>
      </patternFill>
    </fill>
    <fill>
      <patternFill patternType="solid">
        <fgColor rgb="FFFFF2CC"/>
      </patternFill>
    </fill>
    <fill>
      <patternFill patternType="solid">
        <fgColor rgb="FFE2F0D9"/>
      </patternFill>
    </fill>
    <fill>
      <patternFill patternType="solid">
        <fgColor rgb="FF4472C4"/>
      </patternFill>
    </fill>
    <fill>
      <patternFill patternType="solid">
        <fgColor rgb="FF4472C4"/>
      </patternFill>
    </fill>
    <fill>
      <patternFill patternType="solid">
        <fgColor rgb="FFDDEBF7"/>
      </patternFill>
    </fill>
    <fill>
      <patternFill patternType="solid">
        <fgColor rgb="FFFFFFFF"/>
      </patternFill>
    </fill>
  </fills>
  <borders count="5">
    <border>
      <left/>
      <right/>
      <top/>
      <bottom/>
      <diagonal/>
    </border>
    <border>
      <left style="thin">
        <color rgb="FF9DC3E6"/>
      </left>
      <right/>
      <top style="thin">
        <color rgb="FF9DC3E6"/>
      </top>
      <bottom style="thin">
        <color rgb="FF9DC3E6"/>
      </bottom>
      <diagonal/>
    </border>
    <border>
      <left/>
      <right/>
      <top style="thin">
        <color rgb="FF9DC3E6"/>
      </top>
      <bottom style="thin">
        <color rgb="FF9DC3E6"/>
      </bottom>
      <diagonal/>
    </border>
    <border>
      <left/>
      <right style="thin">
        <color rgb="FF9DC3E6"/>
      </right>
      <top style="thin">
        <color rgb="FF9DC3E6"/>
      </top>
      <bottom style="thin">
        <color rgb="FF9DC3E6"/>
      </bottom>
      <diagonal/>
    </border>
    <border>
      <left style="thin">
        <color rgb="FF9DC3E6"/>
      </left>
      <right style="thin">
        <color rgb="FF9DC3E6"/>
      </right>
      <top style="thin">
        <color rgb="FF9DC3E6"/>
      </top>
      <bottom style="thin">
        <color rgb="FF9DC3E6"/>
      </bottom>
      <diagonal/>
    </border>
  </borders>
  <cellStyleXfs count="1">
    <xf numFmtId="0" fontId="0" fillId="0" borderId="0"/>
  </cellStyleXfs>
  <cellXfs count="19">
    <xf numFmtId="0" fontId="0" fillId="0" borderId="0" xfId="0"/>
    <xf numFmtId="0" fontId="5" fillId="6" borderId="0" xfId="0" applyFont="1" applyFill="1" applyAlignment="1">
      <alignment horizontal="center" vertical="center" wrapText="1"/>
    </xf>
    <xf numFmtId="0" fontId="6" fillId="0" borderId="0" xfId="0" applyFont="1" applyAlignment="1">
      <alignment vertical="top" wrapText="1"/>
    </xf>
    <xf numFmtId="0" fontId="6" fillId="0" borderId="0" xfId="0" applyFont="1" applyAlignment="1">
      <alignment horizontal="center" vertical="top" wrapText="1"/>
    </xf>
    <xf numFmtId="164" fontId="6" fillId="0" borderId="0" xfId="0" applyNumberFormat="1" applyFont="1" applyAlignment="1">
      <alignment vertical="top" wrapText="1"/>
    </xf>
    <xf numFmtId="14" fontId="6" fillId="0" borderId="0" xfId="0" applyNumberFormat="1" applyFont="1" applyAlignment="1">
      <alignment horizontal="center" vertical="top" wrapText="1"/>
    </xf>
    <xf numFmtId="14" fontId="6" fillId="0" borderId="0" xfId="0" applyNumberFormat="1" applyFont="1" applyAlignment="1">
      <alignment vertical="top" wrapText="1"/>
    </xf>
    <xf numFmtId="164" fontId="9" fillId="8" borderId="4" xfId="0" applyNumberFormat="1" applyFont="1" applyFill="1" applyBorder="1" applyAlignment="1">
      <alignment vertical="top" wrapText="1"/>
    </xf>
    <xf numFmtId="0" fontId="1" fillId="2" borderId="0" xfId="0" applyFont="1" applyFill="1" applyAlignment="1">
      <alignment vertical="center"/>
    </xf>
    <xf numFmtId="0" fontId="2" fillId="3" borderId="0" xfId="0" applyFont="1" applyFill="1" applyAlignment="1">
      <alignment vertical="center"/>
    </xf>
    <xf numFmtId="0" fontId="3" fillId="4" borderId="0" xfId="0" applyFont="1" applyFill="1" applyAlignment="1">
      <alignment vertical="center" wrapText="1"/>
    </xf>
    <xf numFmtId="0" fontId="4" fillId="5" borderId="0" xfId="0" applyFont="1" applyFill="1" applyAlignment="1">
      <alignment vertical="center"/>
    </xf>
    <xf numFmtId="0" fontId="7" fillId="3" borderId="0" xfId="0" applyFont="1" applyFill="1" applyAlignment="1">
      <alignment vertical="center"/>
    </xf>
    <xf numFmtId="164" fontId="8" fillId="7" borderId="1" xfId="0" applyNumberFormat="1" applyFont="1" applyFill="1" applyBorder="1" applyAlignment="1">
      <alignment vertical="center" wrapText="1"/>
    </xf>
    <xf numFmtId="0" fontId="8" fillId="7" borderId="2" xfId="0" applyFont="1" applyFill="1" applyBorder="1" applyAlignment="1">
      <alignment vertical="center" wrapText="1"/>
    </xf>
    <xf numFmtId="0" fontId="8" fillId="7" borderId="2"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10" fillId="9" borderId="4" xfId="0" applyFont="1" applyFill="1" applyBorder="1" applyAlignment="1">
      <alignment vertical="top" wrapText="1"/>
    </xf>
    <xf numFmtId="0" fontId="10" fillId="9" borderId="4" xfId="0" applyFont="1" applyFill="1" applyBorder="1" applyAlignment="1">
      <alignment horizontal="center" vertical="top" wrapText="1"/>
    </xf>
  </cellXfs>
  <cellStyles count="1">
    <cellStyle name="Normal" xfId="0" builtinId="0"/>
  </cellStyles>
  <dxfs count="1">
    <dxf>
      <font>
        <b/>
        <color rgb="FFC00000"/>
      </font>
      <fill>
        <patternFill patternType="solid">
          <bgColor rgb="FFFCE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diceOnomasticoAnual1819" displayName="IndiceOnomasticoAnual1819" ref="A6:K4028" totalsRowShown="0">
  <autoFilter ref="A6:K4028" xr:uid="{00000000-0009-0000-0100-000001000000}"/>
  <tableColumns count="11">
    <tableColumn id="1" xr3:uid="{00000000-0010-0000-0000-000001000000}" name="Apellidos y nombre (orden estimado)"/>
    <tableColumn id="2" xr3:uid="{00000000-0010-0000-0000-000002000000}" name="Nombre leído"/>
    <tableColumn id="3" xr3:uid="{00000000-0010-0000-0000-000003000000}" name="Motivo de aparición"/>
    <tableColumn id="4" xr3:uid="{00000000-0010-0000-0000-000004000000}" name="Organismo o sección"/>
    <tableColumn id="5" xr3:uid="{00000000-0010-0000-0000-000005000000}" name="Fecha"/>
    <tableColumn id="6" xr3:uid="{00000000-0010-0000-0000-000006000000}" name="Publicación y nº"/>
    <tableColumn id="7" xr3:uid="{00000000-0010-0000-0000-000007000000}" name="Página"/>
    <tableColumn id="8" xr3:uid="{00000000-0010-0000-0000-000008000000}" name="Observaciones"/>
    <tableColumn id="9" xr3:uid="{00000000-0010-0000-0000-000009000000}" name="Extracto original OCR"/>
    <tableColumn id="10" xr3:uid="{00000000-0010-0000-0000-00000A000000}" name="Facsímil (página)"/>
    <tableColumn id="11" xr3:uid="{00000000-0010-0000-0000-00000B000000}" name="Estado de lectur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uentesGacetaAnual1819" displayName="FuentesGacetaAnual1819" ref="A4:F163" totalsRowShown="0">
  <autoFilter ref="A4:F163" xr:uid="{00000000-0009-0000-0100-000002000000}"/>
  <tableColumns count="6">
    <tableColumn id="1" xr3:uid="{00000000-0010-0000-0100-000001000000}" name="Fecha"/>
    <tableColumn id="2" xr3:uid="{00000000-0010-0000-0100-000002000000}" name="Publicación y nº"/>
    <tableColumn id="3" xr3:uid="{00000000-0010-0000-0100-000003000000}" name="Archivo"/>
    <tableColumn id="4" xr3:uid="{00000000-0010-0000-0100-000004000000}" name="Páginas PDF"/>
    <tableColumn id="5" xr3:uid="{00000000-0010-0000-0100-000005000000}" name="Registros del índice"/>
    <tableColumn id="6" xr3:uid="{00000000-0010-0000-0100-000006000000}" name="Facsímil completo"/>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E78"/>
  </sheetPr>
  <dimension ref="A1:K8846"/>
  <sheetViews>
    <sheetView showGridLines="0" tabSelected="1" workbookViewId="0">
      <pane xSplit="2" ySplit="6" topLeftCell="C7" activePane="bottomRight" state="frozen"/>
      <selection pane="topRight"/>
      <selection pane="bottomLeft"/>
      <selection pane="bottomRight" activeCell="C7" sqref="C7"/>
    </sheetView>
  </sheetViews>
  <sheetFormatPr baseColWidth="10" defaultColWidth="8.796875" defaultRowHeight="13.8"/>
  <cols>
    <col min="1" max="1" width="31" customWidth="1"/>
    <col min="2" max="2" width="28" customWidth="1"/>
    <col min="3" max="3" width="42" customWidth="1"/>
    <col min="4" max="4" width="38" customWidth="1"/>
    <col min="5" max="5" width="20" customWidth="1"/>
    <col min="6" max="6" width="30" customWidth="1"/>
    <col min="7" max="7" width="13" customWidth="1"/>
    <col min="8" max="8" width="38" customWidth="1"/>
    <col min="9" max="9" width="45" customWidth="1"/>
    <col min="10" max="10" width="18" customWidth="1"/>
    <col min="11" max="11" width="17" customWidth="1"/>
  </cols>
  <sheetData>
    <row r="1" spans="1:11" ht="30" customHeight="1">
      <c r="A1" s="8" t="s">
        <v>0</v>
      </c>
      <c r="B1" s="8"/>
      <c r="C1" s="8"/>
      <c r="D1" s="8"/>
      <c r="E1" s="8"/>
      <c r="F1" s="8"/>
      <c r="G1" s="8"/>
      <c r="H1" s="8"/>
      <c r="I1" s="8"/>
      <c r="J1" s="8"/>
      <c r="K1" s="8"/>
    </row>
    <row r="2" spans="1:11" ht="22.05" customHeight="1">
      <c r="A2" s="9" t="s">
        <v>1</v>
      </c>
      <c r="B2" s="9"/>
      <c r="C2" s="9"/>
      <c r="D2" s="9"/>
      <c r="E2" s="9"/>
      <c r="F2" s="9"/>
      <c r="G2" s="9"/>
      <c r="H2" s="9"/>
      <c r="I2" s="9"/>
      <c r="J2" s="9"/>
      <c r="K2" s="9"/>
    </row>
    <row r="3" spans="1:11" ht="34.049999999999997" customHeight="1">
      <c r="A3" s="10" t="s">
        <v>2</v>
      </c>
      <c r="B3" s="10"/>
      <c r="C3" s="10"/>
      <c r="D3" s="10"/>
      <c r="E3" s="10"/>
      <c r="F3" s="10"/>
      <c r="G3" s="10"/>
      <c r="H3" s="10"/>
      <c r="I3" s="10"/>
      <c r="J3" s="10"/>
      <c r="K3" s="10"/>
    </row>
    <row r="4" spans="1:11" ht="22.05" customHeight="1">
      <c r="A4" s="11" t="s">
        <v>3</v>
      </c>
      <c r="B4" s="11"/>
      <c r="C4" s="11"/>
      <c r="D4" s="11"/>
      <c r="E4" s="11"/>
      <c r="F4" s="11"/>
      <c r="G4" s="11"/>
      <c r="H4" s="11"/>
      <c r="I4" s="11"/>
      <c r="J4" s="11"/>
      <c r="K4" s="11"/>
    </row>
    <row r="6" spans="1:11" ht="31.95" customHeight="1">
      <c r="A6" s="1" t="s">
        <v>4</v>
      </c>
      <c r="B6" s="1" t="s">
        <v>5</v>
      </c>
      <c r="C6" s="1" t="s">
        <v>6</v>
      </c>
      <c r="D6" s="1" t="s">
        <v>7</v>
      </c>
      <c r="E6" s="1" t="s">
        <v>8</v>
      </c>
      <c r="F6" s="1" t="s">
        <v>9</v>
      </c>
      <c r="G6" s="1" t="s">
        <v>10</v>
      </c>
      <c r="H6" s="1" t="s">
        <v>11</v>
      </c>
      <c r="I6" s="1" t="s">
        <v>12</v>
      </c>
      <c r="J6" s="1" t="s">
        <v>13</v>
      </c>
      <c r="K6" s="1" t="s">
        <v>14</v>
      </c>
    </row>
    <row r="7" spans="1:11" ht="42" customHeight="1">
      <c r="A7" s="2" t="s">
        <v>15</v>
      </c>
      <c r="B7" s="2" t="s">
        <v>16</v>
      </c>
      <c r="C7" s="2" t="s">
        <v>17</v>
      </c>
      <c r="D7" s="2" t="s">
        <v>18</v>
      </c>
      <c r="E7" s="5">
        <v>-29281</v>
      </c>
      <c r="F7" s="3" t="s">
        <v>19</v>
      </c>
      <c r="G7" s="3" t="s">
        <v>20</v>
      </c>
      <c r="H7" s="2" t="s">
        <v>21</v>
      </c>
      <c r="I7" s="2" t="s">
        <v>22</v>
      </c>
      <c r="J7" s="3" t="str">
        <f>HYPERLINK("https://www.boe.es/gazeta/dias/1819/10/30/pdfs/GMD-1819-134.pdf#page=10","Abrir facsímil")</f>
        <v>Abrir facsímil</v>
      </c>
      <c r="K7" s="3" t="s">
        <v>23</v>
      </c>
    </row>
    <row r="8" spans="1:11" ht="42" customHeight="1">
      <c r="A8" s="2" t="s">
        <v>24</v>
      </c>
      <c r="B8" s="2" t="s">
        <v>25</v>
      </c>
      <c r="C8" s="2" t="s">
        <v>26</v>
      </c>
      <c r="D8" s="2" t="s">
        <v>18</v>
      </c>
      <c r="E8" s="5">
        <v>-29488</v>
      </c>
      <c r="F8" s="3" t="s">
        <v>27</v>
      </c>
      <c r="G8" s="3" t="s">
        <v>28</v>
      </c>
      <c r="H8" s="2" t="s">
        <v>21</v>
      </c>
      <c r="I8" s="2" t="s">
        <v>29</v>
      </c>
      <c r="J8" s="3" t="str">
        <f>HYPERLINK("https://www.boe.es/gazeta/dias/1819/04/06/pdfs/GMD-1819-41.pdf#page=8","Abrir facsímil")</f>
        <v>Abrir facsímil</v>
      </c>
      <c r="K8" s="3" t="s">
        <v>23</v>
      </c>
    </row>
    <row r="9" spans="1:11" ht="42" customHeight="1">
      <c r="A9" s="2" t="s">
        <v>30</v>
      </c>
      <c r="B9" s="2" t="s">
        <v>31</v>
      </c>
      <c r="C9" s="2" t="s">
        <v>17</v>
      </c>
      <c r="D9" s="2" t="s">
        <v>18</v>
      </c>
      <c r="E9" s="5">
        <v>-29271</v>
      </c>
      <c r="F9" s="3" t="s">
        <v>32</v>
      </c>
      <c r="G9" s="3" t="s">
        <v>33</v>
      </c>
      <c r="H9" s="2" t="s">
        <v>21</v>
      </c>
      <c r="I9" s="2" t="s">
        <v>34</v>
      </c>
      <c r="J9" s="3" t="str">
        <f>HYPERLINK("https://www.boe.es/gazeta/dias/1819/11/09/pdfs/GMD-1819-138.pdf#page=6","Abrir facsímil")</f>
        <v>Abrir facsímil</v>
      </c>
      <c r="K9" s="3" t="s">
        <v>23</v>
      </c>
    </row>
    <row r="10" spans="1:11" ht="42" customHeight="1">
      <c r="A10" s="2" t="s">
        <v>35</v>
      </c>
      <c r="B10" s="2" t="s">
        <v>36</v>
      </c>
      <c r="C10" s="2" t="s">
        <v>17</v>
      </c>
      <c r="D10" s="2" t="s">
        <v>18</v>
      </c>
      <c r="E10" s="5">
        <v>-29264</v>
      </c>
      <c r="F10" s="3" t="s">
        <v>37</v>
      </c>
      <c r="G10" s="3" t="s">
        <v>38</v>
      </c>
      <c r="H10" s="2" t="s">
        <v>21</v>
      </c>
      <c r="I10" s="2" t="s">
        <v>39</v>
      </c>
      <c r="J10" s="3" t="str">
        <f>HYPERLINK("https://www.boe.es/gazeta/dias/1819/11/16/pdfs/GMD-1819-141.pdf#page=5","Abrir facsímil")</f>
        <v>Abrir facsímil</v>
      </c>
      <c r="K10" s="3" t="s">
        <v>23</v>
      </c>
    </row>
    <row r="11" spans="1:11" ht="42" customHeight="1">
      <c r="A11" s="2" t="s">
        <v>40</v>
      </c>
      <c r="B11" s="2" t="s">
        <v>41</v>
      </c>
      <c r="C11" s="2" t="s">
        <v>42</v>
      </c>
      <c r="D11" s="2" t="s">
        <v>43</v>
      </c>
      <c r="E11" s="5">
        <v>-29229</v>
      </c>
      <c r="F11" s="3" t="s">
        <v>44</v>
      </c>
      <c r="G11" s="3" t="s">
        <v>38</v>
      </c>
      <c r="H11" s="2" t="s">
        <v>21</v>
      </c>
      <c r="I11" s="2" t="s">
        <v>45</v>
      </c>
      <c r="J11" s="3" t="str">
        <f>HYPERLINK("https://www.boe.es/gazeta/dias/1819/12/21/pdfs/GMD-1819-156.pdf#page=5","Abrir facsímil")</f>
        <v>Abrir facsímil</v>
      </c>
      <c r="K11" s="3" t="s">
        <v>23</v>
      </c>
    </row>
    <row r="12" spans="1:11" ht="42" customHeight="1">
      <c r="A12" s="2" t="s">
        <v>46</v>
      </c>
      <c r="B12" s="2" t="s">
        <v>47</v>
      </c>
      <c r="C12" s="2" t="s">
        <v>17</v>
      </c>
      <c r="D12" s="2" t="s">
        <v>18</v>
      </c>
      <c r="E12" s="5">
        <v>-29271</v>
      </c>
      <c r="F12" s="3" t="s">
        <v>32</v>
      </c>
      <c r="G12" s="3" t="s">
        <v>33</v>
      </c>
      <c r="H12" s="2" t="s">
        <v>21</v>
      </c>
      <c r="I12" s="2" t="s">
        <v>48</v>
      </c>
      <c r="J12" s="3" t="str">
        <f>HYPERLINK("https://www.boe.es/gazeta/dias/1819/11/09/pdfs/GMD-1819-138.pdf#page=6","Abrir facsímil")</f>
        <v>Abrir facsímil</v>
      </c>
      <c r="K12" s="3" t="s">
        <v>23</v>
      </c>
    </row>
    <row r="13" spans="1:11" ht="42" customHeight="1">
      <c r="A13" s="2" t="s">
        <v>49</v>
      </c>
      <c r="B13" s="2" t="s">
        <v>50</v>
      </c>
      <c r="C13" s="2" t="s">
        <v>17</v>
      </c>
      <c r="D13" s="2" t="s">
        <v>18</v>
      </c>
      <c r="E13" s="5">
        <v>-29264</v>
      </c>
      <c r="F13" s="3" t="s">
        <v>37</v>
      </c>
      <c r="G13" s="3" t="s">
        <v>33</v>
      </c>
      <c r="H13" s="2" t="s">
        <v>21</v>
      </c>
      <c r="I13" s="2" t="s">
        <v>51</v>
      </c>
      <c r="J13" s="3" t="str">
        <f>HYPERLINK("https://www.boe.es/gazeta/dias/1819/11/16/pdfs/GMD-1819-141.pdf#page=6","Abrir facsímil")</f>
        <v>Abrir facsímil</v>
      </c>
      <c r="K13" s="3" t="s">
        <v>23</v>
      </c>
    </row>
    <row r="14" spans="1:11" ht="42" customHeight="1">
      <c r="A14" s="2" t="s">
        <v>52</v>
      </c>
      <c r="B14" s="2" t="s">
        <v>53</v>
      </c>
      <c r="C14" s="2" t="s">
        <v>17</v>
      </c>
      <c r="D14" s="2" t="s">
        <v>18</v>
      </c>
      <c r="E14" s="5">
        <v>-29276</v>
      </c>
      <c r="F14" s="3" t="s">
        <v>54</v>
      </c>
      <c r="G14" s="3" t="s">
        <v>55</v>
      </c>
      <c r="H14" s="2" t="s">
        <v>21</v>
      </c>
      <c r="I14" s="2" t="s">
        <v>56</v>
      </c>
      <c r="J14" s="3" t="str">
        <f>HYPERLINK("https://www.boe.es/gazeta/dias/1819/11/04/pdfs/GMD-1819-136.pdf#page=7","Abrir facsímil")</f>
        <v>Abrir facsímil</v>
      </c>
      <c r="K14" s="3" t="s">
        <v>23</v>
      </c>
    </row>
    <row r="15" spans="1:11" ht="42" customHeight="1">
      <c r="A15" s="2" t="s">
        <v>57</v>
      </c>
      <c r="B15" s="2" t="s">
        <v>58</v>
      </c>
      <c r="C15" s="2" t="s">
        <v>59</v>
      </c>
      <c r="D15" s="2" t="s">
        <v>18</v>
      </c>
      <c r="E15" s="5">
        <v>-29281</v>
      </c>
      <c r="F15" s="3" t="s">
        <v>19</v>
      </c>
      <c r="G15" s="3" t="s">
        <v>20</v>
      </c>
      <c r="H15" s="2" t="s">
        <v>21</v>
      </c>
      <c r="I15" s="2" t="s">
        <v>60</v>
      </c>
      <c r="J15" s="3" t="str">
        <f>HYPERLINK("https://www.boe.es/gazeta/dias/1819/10/30/pdfs/GMD-1819-134.pdf#page=10","Abrir facsímil")</f>
        <v>Abrir facsímil</v>
      </c>
      <c r="K15" s="3" t="s">
        <v>23</v>
      </c>
    </row>
    <row r="16" spans="1:11" ht="42" customHeight="1">
      <c r="A16" s="2" t="s">
        <v>61</v>
      </c>
      <c r="B16" s="2" t="s">
        <v>62</v>
      </c>
      <c r="C16" s="2" t="s">
        <v>63</v>
      </c>
      <c r="D16" s="2" t="s">
        <v>43</v>
      </c>
      <c r="E16" s="5">
        <v>-29407</v>
      </c>
      <c r="F16" s="3" t="s">
        <v>64</v>
      </c>
      <c r="G16" s="3" t="s">
        <v>55</v>
      </c>
      <c r="H16" s="2" t="s">
        <v>65</v>
      </c>
      <c r="I16" s="2" t="s">
        <v>66</v>
      </c>
      <c r="J16" s="3" t="str">
        <f>HYPERLINK("https://www.boe.es/gazeta/dias/1819/06/26/pdfs/GMD-1819-77.pdf#page=7","Abrir facsímil")</f>
        <v>Abrir facsímil</v>
      </c>
      <c r="K16" s="3" t="s">
        <v>67</v>
      </c>
    </row>
    <row r="17" spans="1:11" ht="42" customHeight="1">
      <c r="A17" s="2" t="s">
        <v>68</v>
      </c>
      <c r="B17" s="2" t="s">
        <v>69</v>
      </c>
      <c r="C17" s="2" t="s">
        <v>17</v>
      </c>
      <c r="D17" s="2" t="s">
        <v>18</v>
      </c>
      <c r="E17" s="5">
        <v>-29281</v>
      </c>
      <c r="F17" s="3" t="s">
        <v>19</v>
      </c>
      <c r="G17" s="3" t="s">
        <v>20</v>
      </c>
      <c r="H17" s="2" t="s">
        <v>65</v>
      </c>
      <c r="I17" s="2" t="s">
        <v>70</v>
      </c>
      <c r="J17" s="3" t="str">
        <f>HYPERLINK("https://www.boe.es/gazeta/dias/1819/10/30/pdfs/GMD-1819-134.pdf#page=10","Abrir facsímil")</f>
        <v>Abrir facsímil</v>
      </c>
      <c r="K17" s="3" t="s">
        <v>67</v>
      </c>
    </row>
    <row r="18" spans="1:11" ht="42" customHeight="1">
      <c r="A18" s="2" t="s">
        <v>71</v>
      </c>
      <c r="B18" s="2" t="s">
        <v>72</v>
      </c>
      <c r="C18" s="2" t="s">
        <v>26</v>
      </c>
      <c r="D18" s="2" t="s">
        <v>18</v>
      </c>
      <c r="E18" s="5">
        <v>-29257</v>
      </c>
      <c r="F18" s="3" t="s">
        <v>73</v>
      </c>
      <c r="G18" s="3" t="s">
        <v>38</v>
      </c>
      <c r="H18" s="2" t="s">
        <v>65</v>
      </c>
      <c r="I18" s="2" t="s">
        <v>74</v>
      </c>
      <c r="J18" s="3" t="str">
        <f>HYPERLINK("https://www.boe.es/gazeta/dias/1819/11/23/pdfs/GMD-1819-144.pdf#page=5","Abrir facsímil")</f>
        <v>Abrir facsímil</v>
      </c>
      <c r="K18" s="3" t="s">
        <v>67</v>
      </c>
    </row>
    <row r="19" spans="1:11" ht="42" customHeight="1">
      <c r="A19" s="2" t="s">
        <v>75</v>
      </c>
      <c r="B19" s="2" t="s">
        <v>76</v>
      </c>
      <c r="C19" s="2" t="s">
        <v>59</v>
      </c>
      <c r="D19" s="2" t="s">
        <v>18</v>
      </c>
      <c r="E19" s="5">
        <v>-29575</v>
      </c>
      <c r="F19" s="3" t="s">
        <v>77</v>
      </c>
      <c r="G19" s="3" t="s">
        <v>55</v>
      </c>
      <c r="H19" s="2" t="s">
        <v>65</v>
      </c>
      <c r="I19" s="2" t="s">
        <v>78</v>
      </c>
      <c r="J19" s="3" t="str">
        <f>HYPERLINK("https://www.boe.es/gazeta/dias/1819/01/09/pdfs/GMD-1819-4.pdf#page=7","Abrir facsímil")</f>
        <v>Abrir facsímil</v>
      </c>
      <c r="K19" s="3" t="s">
        <v>67</v>
      </c>
    </row>
    <row r="20" spans="1:11" ht="42" customHeight="1">
      <c r="A20" s="2" t="s">
        <v>79</v>
      </c>
      <c r="B20" s="2" t="s">
        <v>79</v>
      </c>
      <c r="C20" s="2" t="s">
        <v>80</v>
      </c>
      <c r="D20" s="2" t="s">
        <v>81</v>
      </c>
      <c r="E20" s="5">
        <v>-29297</v>
      </c>
      <c r="F20" s="3" t="s">
        <v>82</v>
      </c>
      <c r="G20" s="3" t="s">
        <v>33</v>
      </c>
      <c r="H20" s="2" t="s">
        <v>65</v>
      </c>
      <c r="I20" s="2" t="s">
        <v>83</v>
      </c>
      <c r="J20" s="3" t="str">
        <f>HYPERLINK("https://www.boe.es/gazeta/dias/1819/10/14/pdfs/GMD-1819-126.pdf#page=6","Abrir facsímil")</f>
        <v>Abrir facsímil</v>
      </c>
      <c r="K20" s="3" t="s">
        <v>67</v>
      </c>
    </row>
    <row r="21" spans="1:11" ht="42" customHeight="1">
      <c r="A21" s="2" t="s">
        <v>84</v>
      </c>
      <c r="B21" s="2" t="s">
        <v>85</v>
      </c>
      <c r="C21" s="2" t="s">
        <v>63</v>
      </c>
      <c r="D21" s="2" t="s">
        <v>43</v>
      </c>
      <c r="E21" s="5">
        <v>-29502</v>
      </c>
      <c r="F21" s="3" t="s">
        <v>86</v>
      </c>
      <c r="G21" s="3" t="s">
        <v>28</v>
      </c>
      <c r="H21" s="2" t="s">
        <v>65</v>
      </c>
      <c r="I21" s="2" t="s">
        <v>87</v>
      </c>
      <c r="J21" s="3" t="str">
        <f>HYPERLINK("https://www.boe.es/gazeta/dias/1819/03/23/pdfs/GMD-1819-35.pdf#page=8","Abrir facsímil")</f>
        <v>Abrir facsímil</v>
      </c>
      <c r="K21" s="3" t="s">
        <v>67</v>
      </c>
    </row>
    <row r="22" spans="1:11" ht="42" customHeight="1">
      <c r="A22" s="2" t="s">
        <v>88</v>
      </c>
      <c r="B22" s="2" t="s">
        <v>89</v>
      </c>
      <c r="C22" s="2" t="s">
        <v>17</v>
      </c>
      <c r="D22" s="2" t="s">
        <v>18</v>
      </c>
      <c r="E22" s="5">
        <v>-29502</v>
      </c>
      <c r="F22" s="3" t="s">
        <v>86</v>
      </c>
      <c r="G22" s="3" t="s">
        <v>28</v>
      </c>
      <c r="H22" s="2" t="s">
        <v>65</v>
      </c>
      <c r="I22" s="2" t="s">
        <v>90</v>
      </c>
      <c r="J22" s="3" t="str">
        <f>HYPERLINK("https://www.boe.es/gazeta/dias/1819/03/23/pdfs/GMD-1819-35.pdf#page=8","Abrir facsímil")</f>
        <v>Abrir facsímil</v>
      </c>
      <c r="K22" s="3" t="s">
        <v>67</v>
      </c>
    </row>
    <row r="23" spans="1:11" ht="42" customHeight="1">
      <c r="A23" s="2" t="s">
        <v>91</v>
      </c>
      <c r="B23" s="2" t="s">
        <v>92</v>
      </c>
      <c r="C23" s="2" t="s">
        <v>80</v>
      </c>
      <c r="D23" s="2" t="s">
        <v>81</v>
      </c>
      <c r="E23" s="5">
        <v>-29260</v>
      </c>
      <c r="F23" s="3" t="s">
        <v>93</v>
      </c>
      <c r="G23" s="3" t="s">
        <v>94</v>
      </c>
      <c r="H23" s="2" t="s">
        <v>65</v>
      </c>
      <c r="I23" s="2" t="s">
        <v>95</v>
      </c>
      <c r="J23" s="3" t="str">
        <f>HYPERLINK("https://www.boe.es/gazeta/dias/1819/11/20/pdfs/GMD-1819-143.pdf#page=11","Abrir facsímil")</f>
        <v>Abrir facsímil</v>
      </c>
      <c r="K23" s="3" t="s">
        <v>67</v>
      </c>
    </row>
    <row r="24" spans="1:11" ht="42" customHeight="1">
      <c r="A24" s="2" t="s">
        <v>96</v>
      </c>
      <c r="B24" s="2" t="s">
        <v>97</v>
      </c>
      <c r="C24" s="2" t="s">
        <v>63</v>
      </c>
      <c r="D24" s="2" t="s">
        <v>43</v>
      </c>
      <c r="E24" s="5">
        <v>-29227</v>
      </c>
      <c r="F24" s="3" t="s">
        <v>98</v>
      </c>
      <c r="G24" s="3" t="s">
        <v>33</v>
      </c>
      <c r="H24" s="2" t="s">
        <v>65</v>
      </c>
      <c r="I24" s="2" t="s">
        <v>99</v>
      </c>
      <c r="J24" s="3" t="str">
        <f>HYPERLINK("https://www.boe.es/gazeta/dias/1819/12/23/pdfs/GMD-1819-157.pdf#page=6","Abrir facsímil")</f>
        <v>Abrir facsímil</v>
      </c>
      <c r="K24" s="3" t="s">
        <v>67</v>
      </c>
    </row>
    <row r="25" spans="1:11" ht="42" customHeight="1">
      <c r="A25" s="2" t="s">
        <v>100</v>
      </c>
      <c r="B25" s="2" t="s">
        <v>100</v>
      </c>
      <c r="C25" s="2" t="s">
        <v>80</v>
      </c>
      <c r="D25" s="2" t="s">
        <v>81</v>
      </c>
      <c r="E25" s="5">
        <v>-29351</v>
      </c>
      <c r="F25" s="3" t="s">
        <v>101</v>
      </c>
      <c r="G25" s="3" t="s">
        <v>102</v>
      </c>
      <c r="H25" s="2" t="s">
        <v>65</v>
      </c>
      <c r="I25" s="2" t="s">
        <v>103</v>
      </c>
      <c r="J25" s="3" t="str">
        <f>HYPERLINK("https://www.boe.es/gazeta/dias/1819/08/21/pdfs/GMD-1819-101.pdf#page=3","Abrir facsímil")</f>
        <v>Abrir facsímil</v>
      </c>
      <c r="K25" s="3" t="s">
        <v>67</v>
      </c>
    </row>
    <row r="26" spans="1:11" ht="42" customHeight="1">
      <c r="A26" s="2" t="s">
        <v>104</v>
      </c>
      <c r="B26" s="2" t="s">
        <v>105</v>
      </c>
      <c r="C26" s="2" t="s">
        <v>63</v>
      </c>
      <c r="D26" s="2" t="s">
        <v>43</v>
      </c>
      <c r="E26" s="5">
        <v>-29409</v>
      </c>
      <c r="F26" s="3" t="s">
        <v>106</v>
      </c>
      <c r="G26" s="3" t="s">
        <v>28</v>
      </c>
      <c r="H26" s="2" t="s">
        <v>65</v>
      </c>
      <c r="I26" s="2" t="s">
        <v>107</v>
      </c>
      <c r="J26" s="3" t="str">
        <f>HYPERLINK("https://www.boe.es/gazeta/dias/1819/06/24/pdfs/GMD-1819-76.pdf#page=8","Abrir facsímil")</f>
        <v>Abrir facsímil</v>
      </c>
      <c r="K26" s="3" t="s">
        <v>67</v>
      </c>
    </row>
    <row r="27" spans="1:11" ht="42" customHeight="1">
      <c r="A27" s="2" t="s">
        <v>108</v>
      </c>
      <c r="B27" s="2" t="s">
        <v>109</v>
      </c>
      <c r="C27" s="2" t="s">
        <v>59</v>
      </c>
      <c r="D27" s="2" t="s">
        <v>18</v>
      </c>
      <c r="E27" s="5">
        <v>-29425</v>
      </c>
      <c r="F27" s="3" t="s">
        <v>110</v>
      </c>
      <c r="G27" s="3" t="s">
        <v>55</v>
      </c>
      <c r="H27" s="2" t="s">
        <v>65</v>
      </c>
      <c r="I27" s="2" t="s">
        <v>111</v>
      </c>
      <c r="J27" s="3" t="str">
        <f>HYPERLINK("https://www.boe.es/gazeta/dias/1819/06/08/pdfs/GMD-1819-68.pdf#page=7","Abrir facsímil")</f>
        <v>Abrir facsímil</v>
      </c>
      <c r="K27" s="3" t="s">
        <v>67</v>
      </c>
    </row>
    <row r="28" spans="1:11" ht="42" customHeight="1">
      <c r="A28" s="2" t="s">
        <v>112</v>
      </c>
      <c r="B28" s="2" t="s">
        <v>113</v>
      </c>
      <c r="C28" s="2" t="s">
        <v>26</v>
      </c>
      <c r="D28" s="2" t="s">
        <v>18</v>
      </c>
      <c r="E28" s="5">
        <v>-29463</v>
      </c>
      <c r="F28" s="3" t="s">
        <v>114</v>
      </c>
      <c r="G28" s="3" t="s">
        <v>115</v>
      </c>
      <c r="H28" s="2" t="s">
        <v>65</v>
      </c>
      <c r="I28" s="2" t="s">
        <v>116</v>
      </c>
      <c r="J28" s="3" t="str">
        <f>HYPERLINK("https://www.boe.es/gazeta/dias/1819/05/01/pdfs/GMD-1819-52.pdf#page=7","Abrir facsímil")</f>
        <v>Abrir facsímil</v>
      </c>
      <c r="K28" s="3" t="s">
        <v>67</v>
      </c>
    </row>
    <row r="29" spans="1:11" ht="42" customHeight="1">
      <c r="A29" s="2" t="s">
        <v>117</v>
      </c>
      <c r="B29" s="2" t="s">
        <v>118</v>
      </c>
      <c r="C29" s="2" t="s">
        <v>17</v>
      </c>
      <c r="D29" s="2" t="s">
        <v>18</v>
      </c>
      <c r="E29" s="5">
        <v>-29498</v>
      </c>
      <c r="F29" s="3" t="s">
        <v>119</v>
      </c>
      <c r="G29" s="3" t="s">
        <v>120</v>
      </c>
      <c r="H29" s="2" t="s">
        <v>65</v>
      </c>
      <c r="I29" s="2" t="s">
        <v>121</v>
      </c>
      <c r="J29" s="3" t="str">
        <f>HYPERLINK("https://www.boe.es/gazeta/dias/1819/03/27/pdfs/GMD-1819-37.pdf#page=6","Abrir facsímil")</f>
        <v>Abrir facsímil</v>
      </c>
      <c r="K29" s="3" t="s">
        <v>67</v>
      </c>
    </row>
    <row r="30" spans="1:11" ht="42" customHeight="1">
      <c r="A30" s="2" t="s">
        <v>122</v>
      </c>
      <c r="B30" s="2" t="s">
        <v>123</v>
      </c>
      <c r="C30" s="2" t="s">
        <v>80</v>
      </c>
      <c r="D30" s="2" t="s">
        <v>81</v>
      </c>
      <c r="E30" s="5">
        <v>-29549</v>
      </c>
      <c r="F30" s="3" t="s">
        <v>124</v>
      </c>
      <c r="G30" s="3" t="s">
        <v>125</v>
      </c>
      <c r="H30" s="2" t="s">
        <v>65</v>
      </c>
      <c r="I30" s="2" t="s">
        <v>126</v>
      </c>
      <c r="J30" s="3" t="str">
        <f>HYPERLINK("https://www.boe.es/gazeta/dias/1819/02/04/pdfs/GMD-1819-15.pdf#page=7","Abrir facsímil")</f>
        <v>Abrir facsímil</v>
      </c>
      <c r="K30" s="3" t="s">
        <v>67</v>
      </c>
    </row>
    <row r="31" spans="1:11" ht="42" customHeight="1">
      <c r="A31" s="2" t="s">
        <v>127</v>
      </c>
      <c r="B31" s="2" t="s">
        <v>128</v>
      </c>
      <c r="C31" s="2" t="s">
        <v>26</v>
      </c>
      <c r="D31" s="2" t="s">
        <v>18</v>
      </c>
      <c r="E31" s="5">
        <v>-29313</v>
      </c>
      <c r="F31" s="3" t="s">
        <v>129</v>
      </c>
      <c r="G31" s="3" t="s">
        <v>38</v>
      </c>
      <c r="H31" s="2" t="s">
        <v>65</v>
      </c>
      <c r="I31" s="2" t="s">
        <v>130</v>
      </c>
      <c r="J31" s="3" t="str">
        <f>HYPERLINK("https://www.boe.es/gazeta/dias/1819/09/28/pdfs/GMD-1819-119.pdf#page=5","Abrir facsímil")</f>
        <v>Abrir facsímil</v>
      </c>
      <c r="K31" s="3" t="s">
        <v>67</v>
      </c>
    </row>
    <row r="32" spans="1:11" ht="42" customHeight="1">
      <c r="A32" s="2" t="s">
        <v>131</v>
      </c>
      <c r="B32" s="2" t="s">
        <v>132</v>
      </c>
      <c r="C32" s="2" t="s">
        <v>80</v>
      </c>
      <c r="D32" s="2" t="s">
        <v>81</v>
      </c>
      <c r="E32" s="5">
        <v>-29264</v>
      </c>
      <c r="F32" s="3" t="s">
        <v>37</v>
      </c>
      <c r="G32" s="3" t="s">
        <v>20</v>
      </c>
      <c r="H32" s="2" t="s">
        <v>65</v>
      </c>
      <c r="I32" s="2" t="s">
        <v>133</v>
      </c>
      <c r="J32" s="3" t="str">
        <f>HYPERLINK("https://www.boe.es/gazeta/dias/1819/11/16/pdfs/GMD-1819-141.pdf#page=10","Abrir facsímil")</f>
        <v>Abrir facsímil</v>
      </c>
      <c r="K32" s="3" t="s">
        <v>67</v>
      </c>
    </row>
    <row r="33" spans="1:11" ht="42" customHeight="1">
      <c r="A33" s="2" t="s">
        <v>134</v>
      </c>
      <c r="B33" s="2" t="s">
        <v>135</v>
      </c>
      <c r="C33" s="2" t="s">
        <v>136</v>
      </c>
      <c r="D33" s="2" t="s">
        <v>18</v>
      </c>
      <c r="E33" s="5">
        <v>-29516</v>
      </c>
      <c r="F33" s="3" t="s">
        <v>137</v>
      </c>
      <c r="G33" s="3" t="s">
        <v>138</v>
      </c>
      <c r="H33" s="2" t="s">
        <v>65</v>
      </c>
      <c r="I33" s="2" t="s">
        <v>139</v>
      </c>
      <c r="J33" s="3" t="str">
        <f>HYPERLINK("https://www.boe.es/gazeta/dias/1819/03/09/pdfs/GMD-1819-29.pdf#page=12","Abrir facsímil")</f>
        <v>Abrir facsímil</v>
      </c>
      <c r="K33" s="3" t="s">
        <v>67</v>
      </c>
    </row>
    <row r="34" spans="1:11" ht="42" customHeight="1">
      <c r="A34" s="2" t="s">
        <v>140</v>
      </c>
      <c r="B34" s="2" t="s">
        <v>141</v>
      </c>
      <c r="C34" s="2" t="s">
        <v>80</v>
      </c>
      <c r="D34" s="2" t="s">
        <v>81</v>
      </c>
      <c r="E34" s="5">
        <v>-29519</v>
      </c>
      <c r="F34" s="3" t="s">
        <v>142</v>
      </c>
      <c r="G34" s="3" t="s">
        <v>143</v>
      </c>
      <c r="H34" s="2" t="s">
        <v>65</v>
      </c>
      <c r="I34" s="2" t="s">
        <v>144</v>
      </c>
      <c r="J34" s="3" t="str">
        <f>HYPERLINK("https://www.boe.es/gazeta/dias/1819/03/06/pdfs/GMD-1819-28.pdf#page=7","Abrir facsímil")</f>
        <v>Abrir facsímil</v>
      </c>
      <c r="K34" s="3" t="s">
        <v>67</v>
      </c>
    </row>
    <row r="35" spans="1:11" ht="42" customHeight="1">
      <c r="A35" s="2" t="s">
        <v>145</v>
      </c>
      <c r="B35" s="2" t="s">
        <v>146</v>
      </c>
      <c r="C35" s="2" t="s">
        <v>80</v>
      </c>
      <c r="D35" s="2" t="s">
        <v>81</v>
      </c>
      <c r="E35" s="5">
        <v>-29516</v>
      </c>
      <c r="F35" s="3" t="s">
        <v>137</v>
      </c>
      <c r="G35" s="3" t="s">
        <v>20</v>
      </c>
      <c r="H35" s="2" t="s">
        <v>65</v>
      </c>
      <c r="I35" s="2" t="s">
        <v>147</v>
      </c>
      <c r="J35" s="3" t="str">
        <f>HYPERLINK("https://www.boe.es/gazeta/dias/1819/03/09/pdfs/GMD-1819-29.pdf#page=10","Abrir facsímil")</f>
        <v>Abrir facsímil</v>
      </c>
      <c r="K35" s="3" t="s">
        <v>67</v>
      </c>
    </row>
    <row r="36" spans="1:11" ht="42" customHeight="1">
      <c r="A36" s="2" t="s">
        <v>148</v>
      </c>
      <c r="B36" s="2" t="s">
        <v>149</v>
      </c>
      <c r="C36" s="2" t="s">
        <v>80</v>
      </c>
      <c r="D36" s="2" t="s">
        <v>81</v>
      </c>
      <c r="E36" s="5">
        <v>-29554</v>
      </c>
      <c r="F36" s="3" t="s">
        <v>150</v>
      </c>
      <c r="G36" s="3" t="s">
        <v>55</v>
      </c>
      <c r="H36" s="2" t="s">
        <v>65</v>
      </c>
      <c r="I36" s="2" t="s">
        <v>151</v>
      </c>
      <c r="J36" s="3" t="str">
        <f>HYPERLINK("https://www.boe.es/gazeta/dias/1819/01/30/pdfs/GMD-1819-13.pdf#page=7","Abrir facsímil")</f>
        <v>Abrir facsímil</v>
      </c>
      <c r="K36" s="3" t="s">
        <v>67</v>
      </c>
    </row>
    <row r="37" spans="1:11" ht="42" customHeight="1">
      <c r="A37" s="2" t="s">
        <v>152</v>
      </c>
      <c r="B37" s="2" t="s">
        <v>153</v>
      </c>
      <c r="C37" s="2" t="s">
        <v>17</v>
      </c>
      <c r="D37" s="2" t="s">
        <v>18</v>
      </c>
      <c r="E37" s="5">
        <v>-29540</v>
      </c>
      <c r="F37" s="3" t="s">
        <v>154</v>
      </c>
      <c r="G37" s="3" t="s">
        <v>33</v>
      </c>
      <c r="H37" s="2" t="s">
        <v>65</v>
      </c>
      <c r="I37" s="2" t="s">
        <v>155</v>
      </c>
      <c r="J37" s="3" t="str">
        <f>HYPERLINK("https://www.boe.es/gazeta/dias/1819/02/13/pdfs/GMD-1819-19.pdf#page=6","Abrir facsímil")</f>
        <v>Abrir facsímil</v>
      </c>
      <c r="K37" s="3" t="s">
        <v>67</v>
      </c>
    </row>
    <row r="38" spans="1:11" ht="42" customHeight="1">
      <c r="A38" s="2" t="s">
        <v>156</v>
      </c>
      <c r="B38" s="2" t="s">
        <v>157</v>
      </c>
      <c r="C38" s="2" t="s">
        <v>63</v>
      </c>
      <c r="D38" s="2" t="s">
        <v>43</v>
      </c>
      <c r="E38" s="5">
        <v>-29281</v>
      </c>
      <c r="F38" s="3" t="s">
        <v>19</v>
      </c>
      <c r="G38" s="3" t="s">
        <v>55</v>
      </c>
      <c r="H38" s="2" t="s">
        <v>65</v>
      </c>
      <c r="I38" s="2" t="s">
        <v>158</v>
      </c>
      <c r="J38" s="3" t="str">
        <f>HYPERLINK("https://www.boe.es/gazeta/dias/1819/10/30/pdfs/GMD-1819-134.pdf#page=7","Abrir facsímil")</f>
        <v>Abrir facsímil</v>
      </c>
      <c r="K38" s="3" t="s">
        <v>67</v>
      </c>
    </row>
    <row r="39" spans="1:11" ht="42" customHeight="1">
      <c r="A39" s="2" t="s">
        <v>159</v>
      </c>
      <c r="B39" s="2" t="s">
        <v>160</v>
      </c>
      <c r="C39" s="2" t="s">
        <v>59</v>
      </c>
      <c r="D39" s="2" t="s">
        <v>18</v>
      </c>
      <c r="E39" s="5">
        <v>-29379</v>
      </c>
      <c r="F39" s="3" t="s">
        <v>161</v>
      </c>
      <c r="G39" s="3" t="s">
        <v>162</v>
      </c>
      <c r="H39" s="2" t="s">
        <v>65</v>
      </c>
      <c r="I39" s="2" t="s">
        <v>163</v>
      </c>
      <c r="J39" s="3" t="str">
        <f>HYPERLINK("https://www.boe.es/gazeta/dias/1819/07/24/pdfs/GMD-1819-89.pdf#page=5","Abrir facsímil")</f>
        <v>Abrir facsímil</v>
      </c>
      <c r="K39" s="3" t="s">
        <v>67</v>
      </c>
    </row>
    <row r="40" spans="1:11" ht="42" customHeight="1">
      <c r="A40" s="2" t="s">
        <v>164</v>
      </c>
      <c r="B40" s="2" t="s">
        <v>165</v>
      </c>
      <c r="C40" s="2" t="s">
        <v>59</v>
      </c>
      <c r="D40" s="2" t="s">
        <v>18</v>
      </c>
      <c r="E40" s="5">
        <v>-29316</v>
      </c>
      <c r="F40" s="3" t="s">
        <v>166</v>
      </c>
      <c r="G40" s="3" t="s">
        <v>28</v>
      </c>
      <c r="H40" s="2" t="s">
        <v>65</v>
      </c>
      <c r="I40" s="2" t="s">
        <v>167</v>
      </c>
      <c r="J40" s="3" t="str">
        <f>HYPERLINK("https://www.boe.es/gazeta/dias/1819/09/25/pdfs/GMD-1819-118.pdf#page=8","Abrir facsímil")</f>
        <v>Abrir facsímil</v>
      </c>
      <c r="K40" s="3" t="s">
        <v>67</v>
      </c>
    </row>
    <row r="41" spans="1:11" ht="42" customHeight="1">
      <c r="A41" s="2" t="s">
        <v>168</v>
      </c>
      <c r="B41" s="2" t="s">
        <v>169</v>
      </c>
      <c r="C41" s="2" t="s">
        <v>59</v>
      </c>
      <c r="D41" s="2" t="s">
        <v>18</v>
      </c>
      <c r="E41" s="5">
        <v>-29358</v>
      </c>
      <c r="F41" s="3" t="s">
        <v>170</v>
      </c>
      <c r="G41" s="3" t="s">
        <v>38</v>
      </c>
      <c r="H41" s="2" t="s">
        <v>65</v>
      </c>
      <c r="I41" s="2" t="s">
        <v>171</v>
      </c>
      <c r="J41" s="3" t="str">
        <f>HYPERLINK("https://www.boe.es/gazeta/dias/1819/08/14/pdfs/GMD-1819-98.pdf#page=5","Abrir facsímil")</f>
        <v>Abrir facsímil</v>
      </c>
      <c r="K41" s="3" t="s">
        <v>67</v>
      </c>
    </row>
    <row r="42" spans="1:11" ht="42" customHeight="1">
      <c r="A42" s="2" t="s">
        <v>172</v>
      </c>
      <c r="B42" s="2" t="s">
        <v>173</v>
      </c>
      <c r="C42" s="2" t="s">
        <v>63</v>
      </c>
      <c r="D42" s="2" t="s">
        <v>43</v>
      </c>
      <c r="E42" s="5">
        <v>-29325</v>
      </c>
      <c r="F42" s="3" t="s">
        <v>174</v>
      </c>
      <c r="G42" s="3" t="s">
        <v>33</v>
      </c>
      <c r="H42" s="2" t="s">
        <v>65</v>
      </c>
      <c r="I42" s="2" t="s">
        <v>175</v>
      </c>
      <c r="J42" s="3" t="str">
        <f>HYPERLINK("https://www.boe.es/gazeta/dias/1819/09/16/pdfs/GMD-1819-113.pdf#page=6","Abrir facsímil")</f>
        <v>Abrir facsímil</v>
      </c>
      <c r="K42" s="3" t="s">
        <v>67</v>
      </c>
    </row>
    <row r="43" spans="1:11" ht="42" customHeight="1">
      <c r="A43" s="2" t="s">
        <v>176</v>
      </c>
      <c r="B43" s="2" t="s">
        <v>177</v>
      </c>
      <c r="C43" s="2" t="s">
        <v>63</v>
      </c>
      <c r="D43" s="2" t="s">
        <v>43</v>
      </c>
      <c r="E43" s="5">
        <v>-29430</v>
      </c>
      <c r="F43" s="3" t="s">
        <v>178</v>
      </c>
      <c r="G43" s="3" t="s">
        <v>55</v>
      </c>
      <c r="H43" s="2" t="s">
        <v>21</v>
      </c>
      <c r="I43" s="2" t="s">
        <v>179</v>
      </c>
      <c r="J43" s="3" t="str">
        <f>HYPERLINK("https://www.boe.es/gazeta/dias/1819/06/03/pdfs/GMD-1819-66.pdf#page=7","Abrir facsímil")</f>
        <v>Abrir facsímil</v>
      </c>
      <c r="K43" s="3" t="s">
        <v>23</v>
      </c>
    </row>
    <row r="44" spans="1:11" ht="42" customHeight="1">
      <c r="A44" s="2" t="s">
        <v>180</v>
      </c>
      <c r="B44" s="2" t="s">
        <v>181</v>
      </c>
      <c r="C44" s="2" t="s">
        <v>17</v>
      </c>
      <c r="D44" s="2" t="s">
        <v>18</v>
      </c>
      <c r="E44" s="5">
        <v>-29360</v>
      </c>
      <c r="F44" s="3" t="s">
        <v>182</v>
      </c>
      <c r="G44" s="3" t="s">
        <v>28</v>
      </c>
      <c r="H44" s="2" t="s">
        <v>65</v>
      </c>
      <c r="I44" s="2" t="s">
        <v>183</v>
      </c>
      <c r="J44" s="3" t="str">
        <f>HYPERLINK("https://www.boe.es/gazeta/dias/1819/08/12/pdfs/GMD-1819-97.pdf#page=8","Abrir facsímil")</f>
        <v>Abrir facsímil</v>
      </c>
      <c r="K44" s="3" t="s">
        <v>67</v>
      </c>
    </row>
    <row r="45" spans="1:11" ht="42" customHeight="1">
      <c r="A45" s="2" t="s">
        <v>184</v>
      </c>
      <c r="B45" s="2" t="s">
        <v>185</v>
      </c>
      <c r="C45" s="2" t="s">
        <v>80</v>
      </c>
      <c r="D45" s="2" t="s">
        <v>81</v>
      </c>
      <c r="E45" s="5">
        <v>-29579</v>
      </c>
      <c r="F45" s="3" t="s">
        <v>186</v>
      </c>
      <c r="G45" s="3" t="s">
        <v>33</v>
      </c>
      <c r="H45" s="2" t="s">
        <v>21</v>
      </c>
      <c r="I45" s="2" t="s">
        <v>187</v>
      </c>
      <c r="J45" s="3" t="str">
        <f>HYPERLINK("https://www.boe.es/gazeta/dias/1819/01/05/pdfs/GMD-1819-2.pdf#page=6","Abrir facsímil")</f>
        <v>Abrir facsímil</v>
      </c>
      <c r="K45" s="3" t="s">
        <v>23</v>
      </c>
    </row>
    <row r="46" spans="1:11" ht="42" customHeight="1">
      <c r="A46" s="2" t="s">
        <v>184</v>
      </c>
      <c r="B46" s="2" t="s">
        <v>185</v>
      </c>
      <c r="C46" s="2" t="s">
        <v>80</v>
      </c>
      <c r="D46" s="2" t="s">
        <v>81</v>
      </c>
      <c r="E46" s="5">
        <v>-29575</v>
      </c>
      <c r="F46" s="3" t="s">
        <v>77</v>
      </c>
      <c r="G46" s="3" t="s">
        <v>33</v>
      </c>
      <c r="H46" s="2" t="s">
        <v>21</v>
      </c>
      <c r="I46" s="2" t="s">
        <v>188</v>
      </c>
      <c r="J46" s="3" t="str">
        <f>HYPERLINK("https://www.boe.es/gazeta/dias/1819/01/09/pdfs/GMD-1819-4.pdf#page=6","Abrir facsímil")</f>
        <v>Abrir facsímil</v>
      </c>
      <c r="K46" s="3" t="s">
        <v>23</v>
      </c>
    </row>
    <row r="47" spans="1:11" ht="42" customHeight="1">
      <c r="A47" s="2" t="s">
        <v>189</v>
      </c>
      <c r="B47" s="2" t="s">
        <v>190</v>
      </c>
      <c r="C47" s="2" t="s">
        <v>63</v>
      </c>
      <c r="D47" s="2" t="s">
        <v>43</v>
      </c>
      <c r="E47" s="5">
        <v>-29435</v>
      </c>
      <c r="F47" s="3" t="s">
        <v>191</v>
      </c>
      <c r="G47" s="3" t="s">
        <v>55</v>
      </c>
      <c r="H47" s="2" t="s">
        <v>65</v>
      </c>
      <c r="I47" s="2" t="s">
        <v>192</v>
      </c>
      <c r="J47" s="3" t="str">
        <f>HYPERLINK("https://www.boe.es/gazeta/dias/1819/05/29/pdfs/GMD-1819-64.pdf#page=7","Abrir facsímil")</f>
        <v>Abrir facsímil</v>
      </c>
      <c r="K47" s="3" t="s">
        <v>67</v>
      </c>
    </row>
    <row r="48" spans="1:11" ht="42" customHeight="1">
      <c r="A48" s="2" t="s">
        <v>193</v>
      </c>
      <c r="B48" s="2" t="s">
        <v>194</v>
      </c>
      <c r="C48" s="2" t="s">
        <v>80</v>
      </c>
      <c r="D48" s="2" t="s">
        <v>81</v>
      </c>
      <c r="E48" s="5">
        <v>-29579</v>
      </c>
      <c r="F48" s="3" t="s">
        <v>186</v>
      </c>
      <c r="G48" s="3" t="s">
        <v>55</v>
      </c>
      <c r="H48" s="2" t="s">
        <v>21</v>
      </c>
      <c r="I48" s="2" t="s">
        <v>195</v>
      </c>
      <c r="J48" s="3" t="str">
        <f>HYPERLINK("https://www.boe.es/gazeta/dias/1819/01/05/pdfs/GMD-1819-2.pdf#page=7","Abrir facsímil")</f>
        <v>Abrir facsímil</v>
      </c>
      <c r="K48" s="3" t="s">
        <v>23</v>
      </c>
    </row>
    <row r="49" spans="1:11" ht="42" customHeight="1">
      <c r="A49" s="2" t="s">
        <v>196</v>
      </c>
      <c r="B49" s="2" t="s">
        <v>197</v>
      </c>
      <c r="C49" s="2" t="s">
        <v>136</v>
      </c>
      <c r="D49" s="2" t="s">
        <v>18</v>
      </c>
      <c r="E49" s="5">
        <v>-29260</v>
      </c>
      <c r="F49" s="3" t="s">
        <v>93</v>
      </c>
      <c r="G49" s="3" t="s">
        <v>94</v>
      </c>
      <c r="H49" s="2" t="s">
        <v>65</v>
      </c>
      <c r="I49" s="2" t="s">
        <v>198</v>
      </c>
      <c r="J49" s="3" t="str">
        <f>HYPERLINK("https://www.boe.es/gazeta/dias/1819/11/20/pdfs/GMD-1819-143.pdf#page=11","Abrir facsímil")</f>
        <v>Abrir facsímil</v>
      </c>
      <c r="K49" s="3" t="s">
        <v>67</v>
      </c>
    </row>
    <row r="50" spans="1:11" ht="42" customHeight="1">
      <c r="A50" s="2" t="s">
        <v>199</v>
      </c>
      <c r="B50" s="2" t="s">
        <v>199</v>
      </c>
      <c r="C50" s="2" t="s">
        <v>80</v>
      </c>
      <c r="D50" s="2" t="s">
        <v>81</v>
      </c>
      <c r="E50" s="5">
        <v>-29535</v>
      </c>
      <c r="F50" s="3" t="s">
        <v>200</v>
      </c>
      <c r="G50" s="3" t="s">
        <v>38</v>
      </c>
      <c r="H50" s="2" t="s">
        <v>65</v>
      </c>
      <c r="I50" s="2" t="s">
        <v>201</v>
      </c>
      <c r="J50" s="3" t="str">
        <f>HYPERLINK("https://www.boe.es/gazeta/dias/1819/02/18/pdfs/GMD-1819-21.pdf#page=5","Abrir facsímil")</f>
        <v>Abrir facsímil</v>
      </c>
      <c r="K50" s="3" t="s">
        <v>67</v>
      </c>
    </row>
    <row r="51" spans="1:11" ht="42" customHeight="1">
      <c r="A51" s="2" t="s">
        <v>199</v>
      </c>
      <c r="B51" s="2" t="s">
        <v>199</v>
      </c>
      <c r="C51" s="2" t="s">
        <v>80</v>
      </c>
      <c r="D51" s="2" t="s">
        <v>81</v>
      </c>
      <c r="E51" s="5">
        <v>-29530</v>
      </c>
      <c r="F51" s="3" t="s">
        <v>202</v>
      </c>
      <c r="G51" s="3" t="s">
        <v>38</v>
      </c>
      <c r="H51" s="2" t="s">
        <v>65</v>
      </c>
      <c r="I51" s="2" t="s">
        <v>203</v>
      </c>
      <c r="J51" s="3" t="str">
        <f>HYPERLINK("https://www.boe.es/gazeta/dias/1819/02/23/pdfs/GMD-1819-23.pdf#page=5","Abrir facsímil")</f>
        <v>Abrir facsímil</v>
      </c>
      <c r="K51" s="3" t="s">
        <v>67</v>
      </c>
    </row>
    <row r="52" spans="1:11" ht="42" customHeight="1">
      <c r="A52" s="2" t="s">
        <v>199</v>
      </c>
      <c r="B52" s="2" t="s">
        <v>199</v>
      </c>
      <c r="C52" s="2" t="s">
        <v>80</v>
      </c>
      <c r="D52" s="2" t="s">
        <v>81</v>
      </c>
      <c r="E52" s="5">
        <v>-29374</v>
      </c>
      <c r="F52" s="3" t="s">
        <v>204</v>
      </c>
      <c r="G52" s="3" t="s">
        <v>55</v>
      </c>
      <c r="H52" s="2" t="s">
        <v>65</v>
      </c>
      <c r="I52" s="2" t="s">
        <v>205</v>
      </c>
      <c r="J52" s="3" t="str">
        <f>HYPERLINK("https://www.boe.es/gazeta/dias/1819/07/29/pdfs/GMD-1819-91.pdf#page=7","Abrir facsímil")</f>
        <v>Abrir facsímil</v>
      </c>
      <c r="K52" s="3" t="s">
        <v>67</v>
      </c>
    </row>
    <row r="53" spans="1:11" ht="42" customHeight="1">
      <c r="A53" s="2" t="s">
        <v>206</v>
      </c>
      <c r="B53" s="2" t="s">
        <v>207</v>
      </c>
      <c r="C53" s="2" t="s">
        <v>59</v>
      </c>
      <c r="D53" s="2" t="s">
        <v>18</v>
      </c>
      <c r="E53" s="5">
        <v>-29451</v>
      </c>
      <c r="F53" s="3" t="s">
        <v>208</v>
      </c>
      <c r="G53" s="3" t="s">
        <v>55</v>
      </c>
      <c r="H53" s="2" t="s">
        <v>65</v>
      </c>
      <c r="I53" s="2" t="s">
        <v>209</v>
      </c>
      <c r="J53" s="3" t="str">
        <f>HYPERLINK("https://www.boe.es/gazeta/dias/1819/05/13/pdfs/GMD-1819-57.pdf#page=7","Abrir facsímil")</f>
        <v>Abrir facsímil</v>
      </c>
      <c r="K53" s="3" t="s">
        <v>67</v>
      </c>
    </row>
    <row r="54" spans="1:11" ht="42" customHeight="1">
      <c r="A54" s="2" t="s">
        <v>210</v>
      </c>
      <c r="B54" s="2" t="s">
        <v>211</v>
      </c>
      <c r="C54" s="2" t="s">
        <v>63</v>
      </c>
      <c r="D54" s="2" t="s">
        <v>43</v>
      </c>
      <c r="E54" s="5">
        <v>-29500</v>
      </c>
      <c r="F54" s="3" t="s">
        <v>212</v>
      </c>
      <c r="G54" s="3" t="s">
        <v>55</v>
      </c>
      <c r="H54" s="2" t="s">
        <v>65</v>
      </c>
      <c r="I54" s="2" t="s">
        <v>213</v>
      </c>
      <c r="J54" s="3" t="str">
        <f>HYPERLINK("https://www.boe.es/gazeta/dias/1819/03/25/pdfs/GMD-1819-36.pdf#page=7","Abrir facsímil")</f>
        <v>Abrir facsímil</v>
      </c>
      <c r="K54" s="3" t="s">
        <v>67</v>
      </c>
    </row>
    <row r="55" spans="1:11" ht="42" customHeight="1">
      <c r="A55" s="2" t="s">
        <v>214</v>
      </c>
      <c r="B55" s="2" t="s">
        <v>214</v>
      </c>
      <c r="C55" s="2" t="s">
        <v>215</v>
      </c>
      <c r="D55" s="2" t="s">
        <v>18</v>
      </c>
      <c r="E55" s="5">
        <v>-29474</v>
      </c>
      <c r="F55" s="3" t="s">
        <v>216</v>
      </c>
      <c r="G55" s="3" t="s">
        <v>28</v>
      </c>
      <c r="H55" s="2" t="s">
        <v>65</v>
      </c>
      <c r="I55" s="2" t="s">
        <v>217</v>
      </c>
      <c r="J55" s="3" t="str">
        <f>HYPERLINK("https://www.boe.es/gazeta/dias/1819/04/20/pdfs/GMD-1819-47.pdf#page=8","Abrir facsímil")</f>
        <v>Abrir facsímil</v>
      </c>
      <c r="K55" s="3" t="s">
        <v>67</v>
      </c>
    </row>
    <row r="56" spans="1:11" ht="42" customHeight="1">
      <c r="A56" s="2" t="s">
        <v>214</v>
      </c>
      <c r="B56" s="2" t="s">
        <v>214</v>
      </c>
      <c r="C56" s="2" t="s">
        <v>17</v>
      </c>
      <c r="D56" s="2" t="s">
        <v>18</v>
      </c>
      <c r="E56" s="5">
        <v>-29365</v>
      </c>
      <c r="F56" s="3" t="s">
        <v>218</v>
      </c>
      <c r="G56" s="3" t="s">
        <v>28</v>
      </c>
      <c r="H56" s="2" t="s">
        <v>65</v>
      </c>
      <c r="I56" s="2" t="s">
        <v>219</v>
      </c>
      <c r="J56" s="3" t="str">
        <f>HYPERLINK("https://www.boe.es/gazeta/dias/1819/08/07/pdfs/GMD-1819-95.pdf#page=8","Abrir facsímil")</f>
        <v>Abrir facsímil</v>
      </c>
      <c r="K56" s="3" t="s">
        <v>67</v>
      </c>
    </row>
    <row r="57" spans="1:11" ht="42" customHeight="1">
      <c r="A57" s="2" t="s">
        <v>214</v>
      </c>
      <c r="B57" s="2" t="s">
        <v>214</v>
      </c>
      <c r="C57" s="2" t="s">
        <v>59</v>
      </c>
      <c r="D57" s="2" t="s">
        <v>18</v>
      </c>
      <c r="E57" s="5">
        <v>-29316</v>
      </c>
      <c r="F57" s="3" t="s">
        <v>166</v>
      </c>
      <c r="G57" s="3" t="s">
        <v>28</v>
      </c>
      <c r="H57" s="2" t="s">
        <v>65</v>
      </c>
      <c r="I57" s="2" t="s">
        <v>220</v>
      </c>
      <c r="J57" s="3" t="str">
        <f>HYPERLINK("https://www.boe.es/gazeta/dias/1819/09/25/pdfs/GMD-1819-118.pdf#page=8","Abrir facsímil")</f>
        <v>Abrir facsímil</v>
      </c>
      <c r="K57" s="3" t="s">
        <v>67</v>
      </c>
    </row>
    <row r="58" spans="1:11" ht="42" customHeight="1">
      <c r="A58" s="2" t="s">
        <v>214</v>
      </c>
      <c r="B58" s="2" t="s">
        <v>214</v>
      </c>
      <c r="C58" s="2" t="s">
        <v>63</v>
      </c>
      <c r="D58" s="2" t="s">
        <v>43</v>
      </c>
      <c r="E58" s="5">
        <v>-29264</v>
      </c>
      <c r="F58" s="3" t="s">
        <v>37</v>
      </c>
      <c r="G58" s="3" t="s">
        <v>38</v>
      </c>
      <c r="H58" s="2" t="s">
        <v>65</v>
      </c>
      <c r="I58" s="2" t="s">
        <v>221</v>
      </c>
      <c r="J58" s="3" t="str">
        <f>HYPERLINK("https://www.boe.es/gazeta/dias/1819/11/16/pdfs/GMD-1819-141.pdf#page=5","Abrir facsímil")</f>
        <v>Abrir facsímil</v>
      </c>
      <c r="K58" s="3" t="s">
        <v>67</v>
      </c>
    </row>
    <row r="59" spans="1:11" ht="42" customHeight="1">
      <c r="A59" s="2" t="s">
        <v>222</v>
      </c>
      <c r="B59" s="2" t="s">
        <v>223</v>
      </c>
      <c r="C59" s="2" t="s">
        <v>80</v>
      </c>
      <c r="D59" s="2" t="s">
        <v>81</v>
      </c>
      <c r="E59" s="5">
        <v>-29500</v>
      </c>
      <c r="F59" s="3" t="s">
        <v>212</v>
      </c>
      <c r="G59" s="3" t="s">
        <v>55</v>
      </c>
      <c r="H59" s="2" t="s">
        <v>65</v>
      </c>
      <c r="I59" s="2" t="s">
        <v>224</v>
      </c>
      <c r="J59" s="3" t="str">
        <f>HYPERLINK("https://www.boe.es/gazeta/dias/1819/03/25/pdfs/GMD-1819-36.pdf#page=7","Abrir facsímil")</f>
        <v>Abrir facsímil</v>
      </c>
      <c r="K59" s="3" t="s">
        <v>67</v>
      </c>
    </row>
    <row r="60" spans="1:11" ht="42" customHeight="1">
      <c r="A60" s="2" t="s">
        <v>225</v>
      </c>
      <c r="B60" s="2" t="s">
        <v>226</v>
      </c>
      <c r="C60" s="2" t="s">
        <v>63</v>
      </c>
      <c r="D60" s="2" t="s">
        <v>43</v>
      </c>
      <c r="E60" s="5">
        <v>-29348</v>
      </c>
      <c r="F60" s="3" t="s">
        <v>227</v>
      </c>
      <c r="G60" s="3" t="s">
        <v>38</v>
      </c>
      <c r="H60" s="2" t="s">
        <v>65</v>
      </c>
      <c r="I60" s="2" t="s">
        <v>228</v>
      </c>
      <c r="J60" s="3" t="str">
        <f>HYPERLINK("https://www.boe.es/gazeta/dias/1819/08/24/pdfs/GMD-1819-102.pdf#page=5","Abrir facsímil")</f>
        <v>Abrir facsímil</v>
      </c>
      <c r="K60" s="3" t="s">
        <v>67</v>
      </c>
    </row>
    <row r="61" spans="1:11" ht="42" customHeight="1">
      <c r="A61" s="2" t="s">
        <v>229</v>
      </c>
      <c r="B61" s="2" t="s">
        <v>230</v>
      </c>
      <c r="C61" s="2" t="s">
        <v>80</v>
      </c>
      <c r="D61" s="2" t="s">
        <v>81</v>
      </c>
      <c r="E61" s="5">
        <v>-29369</v>
      </c>
      <c r="F61" s="3" t="s">
        <v>231</v>
      </c>
      <c r="G61" s="3" t="s">
        <v>232</v>
      </c>
      <c r="H61" s="2" t="s">
        <v>65</v>
      </c>
      <c r="I61" s="2" t="s">
        <v>233</v>
      </c>
      <c r="J61" s="3" t="str">
        <f>HYPERLINK("https://www.boe.es/gazeta/dias/1819/08/03/pdfs/GMD-1819-93.pdf#page=5","Abrir facsímil")</f>
        <v>Abrir facsímil</v>
      </c>
      <c r="K61" s="3" t="s">
        <v>67</v>
      </c>
    </row>
    <row r="62" spans="1:11" ht="42" customHeight="1">
      <c r="A62" s="2" t="s">
        <v>234</v>
      </c>
      <c r="B62" s="2" t="s">
        <v>235</v>
      </c>
      <c r="C62" s="2" t="s">
        <v>63</v>
      </c>
      <c r="D62" s="2" t="s">
        <v>43</v>
      </c>
      <c r="E62" s="5">
        <v>-29348</v>
      </c>
      <c r="F62" s="3" t="s">
        <v>227</v>
      </c>
      <c r="G62" s="3" t="s">
        <v>28</v>
      </c>
      <c r="H62" s="2" t="s">
        <v>65</v>
      </c>
      <c r="I62" s="2" t="s">
        <v>236</v>
      </c>
      <c r="J62" s="3" t="str">
        <f>HYPERLINK("https://www.boe.es/gazeta/dias/1819/08/24/pdfs/GMD-1819-102.pdf#page=8","Abrir facsímil")</f>
        <v>Abrir facsímil</v>
      </c>
      <c r="K62" s="3" t="s">
        <v>67</v>
      </c>
    </row>
    <row r="63" spans="1:11" ht="42" customHeight="1">
      <c r="A63" s="2" t="s">
        <v>237</v>
      </c>
      <c r="B63" s="2" t="s">
        <v>237</v>
      </c>
      <c r="C63" s="2" t="s">
        <v>80</v>
      </c>
      <c r="D63" s="2" t="s">
        <v>81</v>
      </c>
      <c r="E63" s="5">
        <v>-29547</v>
      </c>
      <c r="F63" s="3" t="s">
        <v>238</v>
      </c>
      <c r="G63" s="3" t="s">
        <v>239</v>
      </c>
      <c r="H63" s="2" t="s">
        <v>65</v>
      </c>
      <c r="I63" s="2" t="s">
        <v>240</v>
      </c>
      <c r="J63" s="3" t="str">
        <f>HYPERLINK("https://www.boe.es/gazeta/dias/1819/02/06/pdfs/GMD-1819-16.pdf#page=1","Abrir facsímil")</f>
        <v>Abrir facsímil</v>
      </c>
      <c r="K63" s="3" t="s">
        <v>67</v>
      </c>
    </row>
    <row r="64" spans="1:11" ht="42" customHeight="1">
      <c r="A64" s="2" t="s">
        <v>241</v>
      </c>
      <c r="B64" s="2" t="s">
        <v>241</v>
      </c>
      <c r="C64" s="2" t="s">
        <v>63</v>
      </c>
      <c r="D64" s="2" t="s">
        <v>43</v>
      </c>
      <c r="E64" s="5">
        <v>-29253</v>
      </c>
      <c r="F64" s="3" t="s">
        <v>242</v>
      </c>
      <c r="G64" s="3" t="s">
        <v>239</v>
      </c>
      <c r="H64" s="2" t="s">
        <v>65</v>
      </c>
      <c r="I64" s="2" t="s">
        <v>243</v>
      </c>
      <c r="J64" s="3" t="str">
        <f>HYPERLINK("https://www.boe.es/gazeta/dias/1819/11/27/pdfs/GMD-1819-146.pdf#page=1","Abrir facsímil")</f>
        <v>Abrir facsímil</v>
      </c>
      <c r="K64" s="3" t="s">
        <v>67</v>
      </c>
    </row>
    <row r="65" spans="1:11" ht="42" customHeight="1">
      <c r="A65" s="2" t="s">
        <v>244</v>
      </c>
      <c r="B65" s="2" t="s">
        <v>245</v>
      </c>
      <c r="C65" s="2" t="s">
        <v>246</v>
      </c>
      <c r="D65" s="2" t="s">
        <v>18</v>
      </c>
      <c r="E65" s="5">
        <v>-29274</v>
      </c>
      <c r="F65" s="3" t="s">
        <v>247</v>
      </c>
      <c r="G65" s="3" t="s">
        <v>28</v>
      </c>
      <c r="H65" s="2" t="s">
        <v>21</v>
      </c>
      <c r="I65" s="2" t="s">
        <v>248</v>
      </c>
      <c r="J65" s="3" t="str">
        <f>HYPERLINK("https://www.boe.es/gazeta/dias/1819/11/06/pdfs/GMD-1819-137.pdf#page=8","Abrir facsímil")</f>
        <v>Abrir facsímil</v>
      </c>
      <c r="K65" s="3" t="s">
        <v>23</v>
      </c>
    </row>
    <row r="66" spans="1:11" ht="42" customHeight="1">
      <c r="A66" s="2" t="s">
        <v>249</v>
      </c>
      <c r="B66" s="2" t="s">
        <v>250</v>
      </c>
      <c r="C66" s="2" t="s">
        <v>80</v>
      </c>
      <c r="D66" s="2" t="s">
        <v>81</v>
      </c>
      <c r="E66" s="5">
        <v>-29416</v>
      </c>
      <c r="F66" s="3" t="s">
        <v>251</v>
      </c>
      <c r="G66" s="3" t="s">
        <v>38</v>
      </c>
      <c r="H66" s="2" t="s">
        <v>65</v>
      </c>
      <c r="I66" s="2" t="s">
        <v>252</v>
      </c>
      <c r="J66" s="3" t="str">
        <f>HYPERLINK("https://www.boe.es/gazeta/dias/1819/06/17/pdfs/GMD-1819-73.pdf#page=5","Abrir facsímil")</f>
        <v>Abrir facsímil</v>
      </c>
      <c r="K66" s="3" t="s">
        <v>67</v>
      </c>
    </row>
    <row r="67" spans="1:11" ht="42" customHeight="1">
      <c r="A67" s="2" t="s">
        <v>253</v>
      </c>
      <c r="B67" s="2" t="s">
        <v>254</v>
      </c>
      <c r="C67" s="2" t="s">
        <v>26</v>
      </c>
      <c r="D67" s="2" t="s">
        <v>18</v>
      </c>
      <c r="E67" s="5">
        <v>-29556</v>
      </c>
      <c r="F67" s="3" t="s">
        <v>255</v>
      </c>
      <c r="G67" s="3" t="s">
        <v>33</v>
      </c>
      <c r="H67" s="2" t="s">
        <v>21</v>
      </c>
      <c r="I67" s="2" t="s">
        <v>256</v>
      </c>
      <c r="J67" s="3" t="str">
        <f>HYPERLINK("https://www.boe.es/gazeta/dias/1819/01/28/pdfs/GMD-1819-12.pdf#page=6","Abrir facsímil")</f>
        <v>Abrir facsímil</v>
      </c>
      <c r="K67" s="3" t="s">
        <v>23</v>
      </c>
    </row>
    <row r="68" spans="1:11" ht="42" customHeight="1">
      <c r="A68" s="2" t="s">
        <v>257</v>
      </c>
      <c r="B68" s="2" t="s">
        <v>257</v>
      </c>
      <c r="C68" s="2" t="s">
        <v>63</v>
      </c>
      <c r="D68" s="2" t="s">
        <v>43</v>
      </c>
      <c r="E68" s="5">
        <v>-29444</v>
      </c>
      <c r="F68" s="3" t="s">
        <v>258</v>
      </c>
      <c r="G68" s="3" t="s">
        <v>259</v>
      </c>
      <c r="H68" s="2" t="s">
        <v>65</v>
      </c>
      <c r="I68" s="2" t="s">
        <v>260</v>
      </c>
      <c r="J68" s="3" t="str">
        <f>HYPERLINK("https://www.boe.es/gazeta/dias/1819/05/20/pdfs/GMD-1819-60.pdf#page=2","Abrir facsímil")</f>
        <v>Abrir facsímil</v>
      </c>
      <c r="K68" s="3" t="s">
        <v>67</v>
      </c>
    </row>
    <row r="69" spans="1:11" ht="42" customHeight="1">
      <c r="A69" s="2" t="s">
        <v>261</v>
      </c>
      <c r="B69" s="2" t="s">
        <v>262</v>
      </c>
      <c r="C69" s="2" t="s">
        <v>63</v>
      </c>
      <c r="D69" s="2" t="s">
        <v>43</v>
      </c>
      <c r="E69" s="5">
        <v>-29390</v>
      </c>
      <c r="F69" s="3" t="s">
        <v>263</v>
      </c>
      <c r="G69" s="3" t="s">
        <v>94</v>
      </c>
      <c r="H69" s="2" t="s">
        <v>65</v>
      </c>
      <c r="I69" s="2" t="s">
        <v>264</v>
      </c>
      <c r="J69" s="3" t="str">
        <f>HYPERLINK("https://www.boe.es/gazeta/dias/1819/07/13/pdfs/GMD-1819-84.pdf#page=11","Abrir facsímil")</f>
        <v>Abrir facsímil</v>
      </c>
      <c r="K69" s="3" t="s">
        <v>67</v>
      </c>
    </row>
    <row r="70" spans="1:11" ht="42" customHeight="1">
      <c r="A70" s="2" t="s">
        <v>265</v>
      </c>
      <c r="B70" s="2" t="s">
        <v>266</v>
      </c>
      <c r="C70" s="2" t="s">
        <v>17</v>
      </c>
      <c r="D70" s="2" t="s">
        <v>18</v>
      </c>
      <c r="E70" s="5">
        <v>-29264</v>
      </c>
      <c r="F70" s="3" t="s">
        <v>37</v>
      </c>
      <c r="G70" s="3" t="s">
        <v>33</v>
      </c>
      <c r="H70" s="2" t="s">
        <v>21</v>
      </c>
      <c r="I70" s="2" t="s">
        <v>267</v>
      </c>
      <c r="J70" s="3" t="str">
        <f>HYPERLINK("https://www.boe.es/gazeta/dias/1819/11/16/pdfs/GMD-1819-141.pdf#page=6","Abrir facsímil")</f>
        <v>Abrir facsímil</v>
      </c>
      <c r="K70" s="3" t="s">
        <v>23</v>
      </c>
    </row>
    <row r="71" spans="1:11" ht="42" customHeight="1">
      <c r="A71" s="2" t="s">
        <v>268</v>
      </c>
      <c r="B71" s="2" t="s">
        <v>269</v>
      </c>
      <c r="C71" s="2" t="s">
        <v>63</v>
      </c>
      <c r="D71" s="2" t="s">
        <v>43</v>
      </c>
      <c r="E71" s="5">
        <v>-29323</v>
      </c>
      <c r="F71" s="3" t="s">
        <v>270</v>
      </c>
      <c r="G71" s="3" t="s">
        <v>55</v>
      </c>
      <c r="H71" s="2" t="s">
        <v>65</v>
      </c>
      <c r="I71" s="2" t="s">
        <v>271</v>
      </c>
      <c r="J71" s="3" t="str">
        <f>HYPERLINK("https://www.boe.es/gazeta/dias/1819/09/18/pdfs/GMD-1819-115.pdf#page=7","Abrir facsímil")</f>
        <v>Abrir facsímil</v>
      </c>
      <c r="K71" s="3" t="s">
        <v>67</v>
      </c>
    </row>
    <row r="72" spans="1:11" ht="42" customHeight="1">
      <c r="A72" s="2" t="s">
        <v>272</v>
      </c>
      <c r="B72" s="2" t="s">
        <v>273</v>
      </c>
      <c r="C72" s="2" t="s">
        <v>59</v>
      </c>
      <c r="D72" s="2" t="s">
        <v>18</v>
      </c>
      <c r="E72" s="5">
        <v>-29369</v>
      </c>
      <c r="F72" s="3" t="s">
        <v>231</v>
      </c>
      <c r="G72" s="3" t="s">
        <v>33</v>
      </c>
      <c r="H72" s="2" t="s">
        <v>65</v>
      </c>
      <c r="I72" s="2" t="s">
        <v>274</v>
      </c>
      <c r="J72" s="3" t="str">
        <f>HYPERLINK("https://www.boe.es/gazeta/dias/1819/08/03/pdfs/GMD-1819-93.pdf#page=6","Abrir facsímil")</f>
        <v>Abrir facsímil</v>
      </c>
      <c r="K72" s="3" t="s">
        <v>67</v>
      </c>
    </row>
    <row r="73" spans="1:11" ht="42" customHeight="1">
      <c r="A73" s="2" t="s">
        <v>275</v>
      </c>
      <c r="B73" s="2" t="s">
        <v>276</v>
      </c>
      <c r="C73" s="2" t="s">
        <v>59</v>
      </c>
      <c r="D73" s="2" t="s">
        <v>18</v>
      </c>
      <c r="E73" s="5">
        <v>-29390</v>
      </c>
      <c r="F73" s="3" t="s">
        <v>263</v>
      </c>
      <c r="G73" s="3" t="s">
        <v>55</v>
      </c>
      <c r="H73" s="2" t="s">
        <v>65</v>
      </c>
      <c r="I73" s="2" t="s">
        <v>277</v>
      </c>
      <c r="J73" s="3" t="str">
        <f>HYPERLINK("https://www.boe.es/gazeta/dias/1819/07/13/pdfs/GMD-1819-84.pdf#page=7","Abrir facsímil")</f>
        <v>Abrir facsímil</v>
      </c>
      <c r="K73" s="3" t="s">
        <v>67</v>
      </c>
    </row>
    <row r="74" spans="1:11" ht="42" customHeight="1">
      <c r="A74" s="2" t="s">
        <v>278</v>
      </c>
      <c r="B74" s="2" t="s">
        <v>279</v>
      </c>
      <c r="C74" s="2" t="s">
        <v>80</v>
      </c>
      <c r="D74" s="2" t="s">
        <v>81</v>
      </c>
      <c r="E74" s="5">
        <v>-29533</v>
      </c>
      <c r="F74" s="3" t="s">
        <v>280</v>
      </c>
      <c r="G74" s="3" t="s">
        <v>28</v>
      </c>
      <c r="H74" s="2" t="s">
        <v>65</v>
      </c>
      <c r="I74" s="2" t="s">
        <v>281</v>
      </c>
      <c r="J74" s="3" t="str">
        <f>HYPERLINK("https://www.boe.es/gazeta/dias/1819/02/20/pdfs/GMD-1819-22.pdf#page=8","Abrir facsímil")</f>
        <v>Abrir facsímil</v>
      </c>
      <c r="K74" s="3" t="s">
        <v>67</v>
      </c>
    </row>
    <row r="75" spans="1:11" ht="42" customHeight="1">
      <c r="A75" s="2" t="s">
        <v>282</v>
      </c>
      <c r="B75" s="2" t="s">
        <v>283</v>
      </c>
      <c r="C75" s="2" t="s">
        <v>246</v>
      </c>
      <c r="D75" s="2" t="s">
        <v>18</v>
      </c>
      <c r="E75" s="5">
        <v>-29276</v>
      </c>
      <c r="F75" s="3" t="s">
        <v>54</v>
      </c>
      <c r="G75" s="3" t="s">
        <v>284</v>
      </c>
      <c r="H75" s="2" t="s">
        <v>65</v>
      </c>
      <c r="I75" s="2" t="s">
        <v>285</v>
      </c>
      <c r="J75" s="3" t="str">
        <f>HYPERLINK("https://www.boe.es/gazeta/dias/1819/11/04/pdfs/GMD-1819-136.pdf#page=6","Abrir facsímil")</f>
        <v>Abrir facsímil</v>
      </c>
      <c r="K75" s="3" t="s">
        <v>67</v>
      </c>
    </row>
    <row r="76" spans="1:11" ht="42" customHeight="1">
      <c r="A76" s="2" t="s">
        <v>286</v>
      </c>
      <c r="B76" s="2" t="s">
        <v>287</v>
      </c>
      <c r="C76" s="2" t="s">
        <v>80</v>
      </c>
      <c r="D76" s="2" t="s">
        <v>81</v>
      </c>
      <c r="E76" s="5">
        <v>-29281</v>
      </c>
      <c r="F76" s="3" t="s">
        <v>19</v>
      </c>
      <c r="G76" s="3" t="s">
        <v>28</v>
      </c>
      <c r="H76" s="2" t="s">
        <v>65</v>
      </c>
      <c r="I76" s="2" t="s">
        <v>288</v>
      </c>
      <c r="J76" s="3" t="str">
        <f>HYPERLINK("https://www.boe.es/gazeta/dias/1819/10/30/pdfs/GMD-1819-134.pdf#page=8","Abrir facsímil")</f>
        <v>Abrir facsímil</v>
      </c>
      <c r="K76" s="3" t="s">
        <v>67</v>
      </c>
    </row>
    <row r="77" spans="1:11" ht="42" customHeight="1">
      <c r="A77" s="2" t="s">
        <v>289</v>
      </c>
      <c r="B77" s="2" t="s">
        <v>289</v>
      </c>
      <c r="C77" s="2" t="s">
        <v>63</v>
      </c>
      <c r="D77" s="2" t="s">
        <v>43</v>
      </c>
      <c r="E77" s="5">
        <v>-29561</v>
      </c>
      <c r="F77" s="3" t="s">
        <v>290</v>
      </c>
      <c r="G77" s="3" t="s">
        <v>28</v>
      </c>
      <c r="H77" s="2" t="s">
        <v>65</v>
      </c>
      <c r="I77" s="2" t="s">
        <v>291</v>
      </c>
      <c r="J77" s="3" t="str">
        <f>HYPERLINK("https://www.boe.es/gazeta/dias/1819/01/23/pdfs/GMD-1819-10.pdf#page=8","Abrir facsímil")</f>
        <v>Abrir facsímil</v>
      </c>
      <c r="K77" s="3" t="s">
        <v>67</v>
      </c>
    </row>
    <row r="78" spans="1:11" ht="42" customHeight="1">
      <c r="A78" s="2" t="s">
        <v>292</v>
      </c>
      <c r="B78" s="2" t="s">
        <v>292</v>
      </c>
      <c r="C78" s="2" t="s">
        <v>80</v>
      </c>
      <c r="D78" s="2" t="s">
        <v>81</v>
      </c>
      <c r="E78" s="5">
        <v>-29565</v>
      </c>
      <c r="F78" s="3" t="s">
        <v>293</v>
      </c>
      <c r="G78" s="3" t="s">
        <v>259</v>
      </c>
      <c r="H78" s="2" t="s">
        <v>65</v>
      </c>
      <c r="I78" s="2" t="s">
        <v>294</v>
      </c>
      <c r="J78" s="3" t="str">
        <f>HYPERLINK("https://www.boe.es/gazeta/dias/1819/01/19/pdfs/GMD-1819-8.pdf#page=2","Abrir facsímil")</f>
        <v>Abrir facsímil</v>
      </c>
      <c r="K78" s="3" t="s">
        <v>67</v>
      </c>
    </row>
    <row r="79" spans="1:11" ht="42" customHeight="1">
      <c r="A79" s="2" t="s">
        <v>292</v>
      </c>
      <c r="B79" s="2" t="s">
        <v>292</v>
      </c>
      <c r="C79" s="2" t="s">
        <v>63</v>
      </c>
      <c r="D79" s="2" t="s">
        <v>43</v>
      </c>
      <c r="E79" s="5">
        <v>-29484</v>
      </c>
      <c r="F79" s="3" t="s">
        <v>295</v>
      </c>
      <c r="G79" s="3" t="s">
        <v>296</v>
      </c>
      <c r="H79" s="2" t="s">
        <v>65</v>
      </c>
      <c r="I79" s="2" t="s">
        <v>297</v>
      </c>
      <c r="J79" s="3" t="str">
        <f>HYPERLINK("https://www.boe.es/gazeta/dias/1819/04/10/pdfs/GMD-1819-43.pdf#page=4","Abrir facsímil")</f>
        <v>Abrir facsímil</v>
      </c>
      <c r="K79" s="3" t="s">
        <v>67</v>
      </c>
    </row>
    <row r="80" spans="1:11" ht="42" customHeight="1">
      <c r="A80" s="2" t="s">
        <v>298</v>
      </c>
      <c r="B80" s="2" t="s">
        <v>299</v>
      </c>
      <c r="C80" s="2" t="s">
        <v>63</v>
      </c>
      <c r="D80" s="2" t="s">
        <v>43</v>
      </c>
      <c r="E80" s="5">
        <v>-29297</v>
      </c>
      <c r="F80" s="3" t="s">
        <v>82</v>
      </c>
      <c r="G80" s="3" t="s">
        <v>55</v>
      </c>
      <c r="H80" s="2" t="s">
        <v>65</v>
      </c>
      <c r="I80" s="2" t="s">
        <v>300</v>
      </c>
      <c r="J80" s="3" t="str">
        <f>HYPERLINK("https://www.boe.es/gazeta/dias/1819/10/14/pdfs/GMD-1819-126.pdf#page=7","Abrir facsímil")</f>
        <v>Abrir facsímil</v>
      </c>
      <c r="K80" s="3" t="s">
        <v>67</v>
      </c>
    </row>
    <row r="81" spans="1:11" ht="42" customHeight="1">
      <c r="A81" s="2" t="s">
        <v>301</v>
      </c>
      <c r="B81" s="2" t="s">
        <v>302</v>
      </c>
      <c r="C81" s="2" t="s">
        <v>59</v>
      </c>
      <c r="D81" s="2" t="s">
        <v>18</v>
      </c>
      <c r="E81" s="5">
        <v>-29306</v>
      </c>
      <c r="F81" s="3" t="s">
        <v>303</v>
      </c>
      <c r="G81" s="3" t="s">
        <v>55</v>
      </c>
      <c r="H81" s="2" t="s">
        <v>65</v>
      </c>
      <c r="I81" s="2" t="s">
        <v>304</v>
      </c>
      <c r="J81" s="3" t="str">
        <f>HYPERLINK("https://www.boe.es/gazeta/dias/1819/10/05/pdfs/GMD-1819-122.pdf#page=7","Abrir facsímil")</f>
        <v>Abrir facsímil</v>
      </c>
      <c r="K81" s="3" t="s">
        <v>67</v>
      </c>
    </row>
    <row r="82" spans="1:11" ht="42" customHeight="1">
      <c r="A82" s="2" t="s">
        <v>305</v>
      </c>
      <c r="B82" s="2" t="s">
        <v>306</v>
      </c>
      <c r="C82" s="2" t="s">
        <v>59</v>
      </c>
      <c r="D82" s="2" t="s">
        <v>18</v>
      </c>
      <c r="E82" s="5">
        <v>-29526</v>
      </c>
      <c r="F82" s="3" t="s">
        <v>307</v>
      </c>
      <c r="G82" s="3" t="s">
        <v>308</v>
      </c>
      <c r="H82" s="2" t="s">
        <v>65</v>
      </c>
      <c r="I82" s="2" t="s">
        <v>309</v>
      </c>
      <c r="J82" s="3" t="str">
        <f>HYPERLINK("https://www.boe.es/gazeta/dias/1819/02/27/pdfs/GMD-1819-25.pdf#page=6","Abrir facsímil")</f>
        <v>Abrir facsímil</v>
      </c>
      <c r="K82" s="3" t="s">
        <v>67</v>
      </c>
    </row>
    <row r="83" spans="1:11" ht="42" customHeight="1">
      <c r="A83" s="2" t="s">
        <v>310</v>
      </c>
      <c r="B83" s="2" t="s">
        <v>311</v>
      </c>
      <c r="C83" s="2" t="s">
        <v>80</v>
      </c>
      <c r="D83" s="2" t="s">
        <v>81</v>
      </c>
      <c r="E83" s="5">
        <v>-29250</v>
      </c>
      <c r="F83" s="3" t="s">
        <v>312</v>
      </c>
      <c r="G83" s="3" t="s">
        <v>313</v>
      </c>
      <c r="H83" s="2" t="s">
        <v>65</v>
      </c>
      <c r="I83" s="2" t="s">
        <v>314</v>
      </c>
      <c r="J83" s="3" t="str">
        <f>HYPERLINK("https://www.boe.es/gazeta/dias/1819/11/30/pdfs/GMD-1819-147.pdf#page=8","Abrir facsímil")</f>
        <v>Abrir facsímil</v>
      </c>
      <c r="K83" s="3" t="s">
        <v>67</v>
      </c>
    </row>
    <row r="84" spans="1:11" ht="42" customHeight="1">
      <c r="A84" s="2" t="s">
        <v>315</v>
      </c>
      <c r="B84" s="2" t="s">
        <v>316</v>
      </c>
      <c r="C84" s="2" t="s">
        <v>26</v>
      </c>
      <c r="D84" s="2" t="s">
        <v>18</v>
      </c>
      <c r="E84" s="5">
        <v>-29411</v>
      </c>
      <c r="F84" s="3" t="s">
        <v>317</v>
      </c>
      <c r="G84" s="3" t="s">
        <v>38</v>
      </c>
      <c r="H84" s="2" t="s">
        <v>65</v>
      </c>
      <c r="I84" s="2" t="s">
        <v>318</v>
      </c>
      <c r="J84" s="3" t="str">
        <f>HYPERLINK("https://www.boe.es/gazeta/dias/1819/06/22/pdfs/GMD-1819-75.pdf#page=5","Abrir facsímil")</f>
        <v>Abrir facsímil</v>
      </c>
      <c r="K84" s="3" t="s">
        <v>67</v>
      </c>
    </row>
    <row r="85" spans="1:11" ht="42" customHeight="1">
      <c r="A85" s="2" t="s">
        <v>319</v>
      </c>
      <c r="B85" s="2" t="s">
        <v>320</v>
      </c>
      <c r="C85" s="2" t="s">
        <v>80</v>
      </c>
      <c r="D85" s="2" t="s">
        <v>81</v>
      </c>
      <c r="E85" s="5">
        <v>-29276</v>
      </c>
      <c r="F85" s="3" t="s">
        <v>54</v>
      </c>
      <c r="G85" s="3" t="s">
        <v>284</v>
      </c>
      <c r="H85" s="2" t="s">
        <v>65</v>
      </c>
      <c r="I85" s="2" t="s">
        <v>321</v>
      </c>
      <c r="J85" s="3" t="str">
        <f>HYPERLINK("https://www.boe.es/gazeta/dias/1819/11/04/pdfs/GMD-1819-136.pdf#page=6","Abrir facsímil")</f>
        <v>Abrir facsímil</v>
      </c>
      <c r="K85" s="3" t="s">
        <v>67</v>
      </c>
    </row>
    <row r="86" spans="1:11" ht="42" customHeight="1">
      <c r="A86" s="2" t="s">
        <v>322</v>
      </c>
      <c r="B86" s="2" t="s">
        <v>323</v>
      </c>
      <c r="C86" s="2" t="s">
        <v>63</v>
      </c>
      <c r="D86" s="2" t="s">
        <v>43</v>
      </c>
      <c r="E86" s="5">
        <v>-29271</v>
      </c>
      <c r="F86" s="3" t="s">
        <v>32</v>
      </c>
      <c r="G86" s="3" t="s">
        <v>55</v>
      </c>
      <c r="H86" s="2" t="s">
        <v>65</v>
      </c>
      <c r="I86" s="2" t="s">
        <v>324</v>
      </c>
      <c r="J86" s="3" t="str">
        <f>HYPERLINK("https://www.boe.es/gazeta/dias/1819/11/09/pdfs/GMD-1819-138.pdf#page=7","Abrir facsímil")</f>
        <v>Abrir facsímil</v>
      </c>
      <c r="K86" s="3" t="s">
        <v>67</v>
      </c>
    </row>
    <row r="87" spans="1:11" ht="42" customHeight="1">
      <c r="A87" s="2" t="s">
        <v>325</v>
      </c>
      <c r="B87" s="2" t="s">
        <v>326</v>
      </c>
      <c r="C87" s="2" t="s">
        <v>63</v>
      </c>
      <c r="D87" s="2" t="s">
        <v>43</v>
      </c>
      <c r="E87" s="5">
        <v>-29281</v>
      </c>
      <c r="F87" s="3" t="s">
        <v>19</v>
      </c>
      <c r="G87" s="3" t="s">
        <v>20</v>
      </c>
      <c r="H87" s="2" t="s">
        <v>65</v>
      </c>
      <c r="I87" s="2" t="s">
        <v>327</v>
      </c>
      <c r="J87" s="3" t="str">
        <f>HYPERLINK("https://www.boe.es/gazeta/dias/1819/10/30/pdfs/GMD-1819-134.pdf#page=10","Abrir facsímil")</f>
        <v>Abrir facsímil</v>
      </c>
      <c r="K87" s="3" t="s">
        <v>67</v>
      </c>
    </row>
    <row r="88" spans="1:11" ht="42" customHeight="1">
      <c r="A88" s="2" t="s">
        <v>328</v>
      </c>
      <c r="B88" s="2" t="s">
        <v>329</v>
      </c>
      <c r="C88" s="2" t="s">
        <v>63</v>
      </c>
      <c r="D88" s="2" t="s">
        <v>43</v>
      </c>
      <c r="E88" s="5">
        <v>-29486</v>
      </c>
      <c r="F88" s="3" t="s">
        <v>330</v>
      </c>
      <c r="G88" s="3" t="s">
        <v>28</v>
      </c>
      <c r="H88" s="2" t="s">
        <v>65</v>
      </c>
      <c r="I88" s="2" t="s">
        <v>331</v>
      </c>
      <c r="J88" s="3" t="str">
        <f>HYPERLINK("https://www.boe.es/gazeta/dias/1819/04/08/pdfs/GMD-1819-42.pdf#page=8","Abrir facsímil")</f>
        <v>Abrir facsímil</v>
      </c>
      <c r="K88" s="3" t="s">
        <v>67</v>
      </c>
    </row>
    <row r="89" spans="1:11" ht="42" customHeight="1">
      <c r="A89" s="2" t="s">
        <v>328</v>
      </c>
      <c r="B89" s="2" t="s">
        <v>329</v>
      </c>
      <c r="C89" s="2" t="s">
        <v>63</v>
      </c>
      <c r="D89" s="2" t="s">
        <v>43</v>
      </c>
      <c r="E89" s="5">
        <v>-29376</v>
      </c>
      <c r="F89" s="3" t="s">
        <v>332</v>
      </c>
      <c r="G89" s="3" t="s">
        <v>28</v>
      </c>
      <c r="H89" s="2" t="s">
        <v>65</v>
      </c>
      <c r="I89" s="2" t="s">
        <v>333</v>
      </c>
      <c r="J89" s="3" t="str">
        <f>HYPERLINK("https://www.boe.es/gazeta/dias/1819/07/27/pdfs/GMD-1819-90.pdf#page=8","Abrir facsímil")</f>
        <v>Abrir facsímil</v>
      </c>
      <c r="K89" s="3" t="s">
        <v>67</v>
      </c>
    </row>
    <row r="90" spans="1:11" ht="42" customHeight="1">
      <c r="A90" s="2" t="s">
        <v>328</v>
      </c>
      <c r="B90" s="2" t="s">
        <v>329</v>
      </c>
      <c r="C90" s="2" t="s">
        <v>63</v>
      </c>
      <c r="D90" s="2" t="s">
        <v>43</v>
      </c>
      <c r="E90" s="5">
        <v>-29288</v>
      </c>
      <c r="F90" s="3" t="s">
        <v>334</v>
      </c>
      <c r="G90" s="3" t="s">
        <v>28</v>
      </c>
      <c r="H90" s="2" t="s">
        <v>65</v>
      </c>
      <c r="I90" s="2" t="s">
        <v>335</v>
      </c>
      <c r="J90" s="3" t="str">
        <f>HYPERLINK("https://www.boe.es/gazeta/dias/1819/10/23/pdfs/GMD-1819-130.pdf#page=8","Abrir facsímil")</f>
        <v>Abrir facsímil</v>
      </c>
      <c r="K90" s="3" t="s">
        <v>67</v>
      </c>
    </row>
    <row r="91" spans="1:11" ht="42" customHeight="1">
      <c r="A91" s="2" t="s">
        <v>336</v>
      </c>
      <c r="B91" s="2" t="s">
        <v>337</v>
      </c>
      <c r="C91" s="2" t="s">
        <v>63</v>
      </c>
      <c r="D91" s="2" t="s">
        <v>43</v>
      </c>
      <c r="E91" s="5">
        <v>-29222</v>
      </c>
      <c r="F91" s="3" t="s">
        <v>338</v>
      </c>
      <c r="G91" s="3" t="s">
        <v>339</v>
      </c>
      <c r="H91" s="2" t="s">
        <v>65</v>
      </c>
      <c r="I91" s="2" t="s">
        <v>340</v>
      </c>
      <c r="J91" s="3" t="str">
        <f>HYPERLINK("https://www.boe.es/gazeta/dias/1819/12/28/pdfs/GMD-1819-159.pdf#page=8","Abrir facsímil")</f>
        <v>Abrir facsímil</v>
      </c>
      <c r="K91" s="3" t="s">
        <v>67</v>
      </c>
    </row>
    <row r="92" spans="1:11" ht="42" customHeight="1">
      <c r="A92" s="2" t="s">
        <v>341</v>
      </c>
      <c r="B92" s="2" t="s">
        <v>342</v>
      </c>
      <c r="C92" s="2" t="s">
        <v>215</v>
      </c>
      <c r="D92" s="2" t="s">
        <v>18</v>
      </c>
      <c r="E92" s="5">
        <v>-29234</v>
      </c>
      <c r="F92" s="3" t="s">
        <v>343</v>
      </c>
      <c r="G92" s="3" t="s">
        <v>28</v>
      </c>
      <c r="H92" s="2" t="s">
        <v>21</v>
      </c>
      <c r="I92" s="2" t="s">
        <v>344</v>
      </c>
      <c r="J92" s="3" t="str">
        <f>HYPERLINK("https://www.boe.es/gazeta/dias/1819/12/16/pdfs/GMD-1819-154.pdf#page=8","Abrir facsímil")</f>
        <v>Abrir facsímil</v>
      </c>
      <c r="K92" s="3" t="s">
        <v>23</v>
      </c>
    </row>
    <row r="93" spans="1:11" ht="42" customHeight="1">
      <c r="A93" s="2" t="s">
        <v>345</v>
      </c>
      <c r="B93" s="2" t="s">
        <v>346</v>
      </c>
      <c r="C93" s="2" t="s">
        <v>26</v>
      </c>
      <c r="D93" s="2" t="s">
        <v>18</v>
      </c>
      <c r="E93" s="5">
        <v>-29355</v>
      </c>
      <c r="F93" s="3" t="s">
        <v>347</v>
      </c>
      <c r="G93" s="3" t="s">
        <v>348</v>
      </c>
      <c r="H93" s="2" t="s">
        <v>65</v>
      </c>
      <c r="I93" s="2" t="s">
        <v>349</v>
      </c>
      <c r="J93" s="3" t="str">
        <f>HYPERLINK("https://www.boe.es/gazeta/dias/1819/08/17/pdfs/GMD-1819-99.pdf#page=6","Abrir facsímil")</f>
        <v>Abrir facsímil</v>
      </c>
      <c r="K93" s="3" t="s">
        <v>67</v>
      </c>
    </row>
    <row r="94" spans="1:11" ht="42" customHeight="1">
      <c r="A94" s="2" t="s">
        <v>350</v>
      </c>
      <c r="B94" s="2" t="s">
        <v>350</v>
      </c>
      <c r="C94" s="2" t="s">
        <v>80</v>
      </c>
      <c r="D94" s="2" t="s">
        <v>81</v>
      </c>
      <c r="E94" s="5">
        <v>-29579</v>
      </c>
      <c r="F94" s="3" t="s">
        <v>186</v>
      </c>
      <c r="G94" s="3" t="s">
        <v>55</v>
      </c>
      <c r="H94" s="2" t="s">
        <v>65</v>
      </c>
      <c r="I94" s="2" t="s">
        <v>351</v>
      </c>
      <c r="J94" s="3" t="str">
        <f>HYPERLINK("https://www.boe.es/gazeta/dias/1819/01/05/pdfs/GMD-1819-2.pdf#page=7","Abrir facsímil")</f>
        <v>Abrir facsímil</v>
      </c>
      <c r="K94" s="3" t="s">
        <v>67</v>
      </c>
    </row>
    <row r="95" spans="1:11" ht="42" customHeight="1">
      <c r="A95" s="2" t="s">
        <v>352</v>
      </c>
      <c r="B95" s="2" t="s">
        <v>353</v>
      </c>
      <c r="C95" s="2" t="s">
        <v>59</v>
      </c>
      <c r="D95" s="2" t="s">
        <v>18</v>
      </c>
      <c r="E95" s="5">
        <v>-29348</v>
      </c>
      <c r="F95" s="3" t="s">
        <v>227</v>
      </c>
      <c r="G95" s="3" t="s">
        <v>55</v>
      </c>
      <c r="H95" s="2" t="s">
        <v>65</v>
      </c>
      <c r="I95" s="2" t="s">
        <v>354</v>
      </c>
      <c r="J95" s="3" t="str">
        <f>HYPERLINK("https://www.boe.es/gazeta/dias/1819/08/24/pdfs/GMD-1819-102.pdf#page=7","Abrir facsímil")</f>
        <v>Abrir facsímil</v>
      </c>
      <c r="K95" s="3" t="s">
        <v>67</v>
      </c>
    </row>
    <row r="96" spans="1:11" ht="42" customHeight="1">
      <c r="A96" s="2" t="s">
        <v>355</v>
      </c>
      <c r="B96" s="2" t="s">
        <v>356</v>
      </c>
      <c r="C96" s="2" t="s">
        <v>80</v>
      </c>
      <c r="D96" s="2" t="s">
        <v>81</v>
      </c>
      <c r="E96" s="5">
        <v>-29255</v>
      </c>
      <c r="F96" s="3" t="s">
        <v>357</v>
      </c>
      <c r="G96" s="3" t="s">
        <v>358</v>
      </c>
      <c r="H96" s="2" t="s">
        <v>65</v>
      </c>
      <c r="I96" s="2" t="s">
        <v>359</v>
      </c>
      <c r="J96" s="3" t="str">
        <f>HYPERLINK("https://www.boe.es/gazeta/dias/1819/11/25/pdfs/GMD-1819-145.pdf#page=6","Abrir facsímil")</f>
        <v>Abrir facsímil</v>
      </c>
      <c r="K96" s="3" t="s">
        <v>67</v>
      </c>
    </row>
    <row r="97" spans="1:11" ht="42" customHeight="1">
      <c r="A97" s="2" t="s">
        <v>360</v>
      </c>
      <c r="B97" s="2" t="s">
        <v>361</v>
      </c>
      <c r="C97" s="2" t="s">
        <v>80</v>
      </c>
      <c r="D97" s="2" t="s">
        <v>81</v>
      </c>
      <c r="E97" s="5">
        <v>-29407</v>
      </c>
      <c r="F97" s="3" t="s">
        <v>64</v>
      </c>
      <c r="G97" s="3" t="s">
        <v>33</v>
      </c>
      <c r="H97" s="2" t="s">
        <v>65</v>
      </c>
      <c r="I97" s="2" t="s">
        <v>362</v>
      </c>
      <c r="J97" s="3" t="str">
        <f>HYPERLINK("https://www.boe.es/gazeta/dias/1819/06/26/pdfs/GMD-1819-77.pdf#page=6","Abrir facsímil")</f>
        <v>Abrir facsímil</v>
      </c>
      <c r="K97" s="3" t="s">
        <v>67</v>
      </c>
    </row>
    <row r="98" spans="1:11" ht="42" customHeight="1">
      <c r="A98" s="2" t="s">
        <v>363</v>
      </c>
      <c r="B98" s="2" t="s">
        <v>363</v>
      </c>
      <c r="C98" s="2" t="s">
        <v>59</v>
      </c>
      <c r="D98" s="2" t="s">
        <v>18</v>
      </c>
      <c r="E98" s="5">
        <v>-29369</v>
      </c>
      <c r="F98" s="3" t="s">
        <v>231</v>
      </c>
      <c r="G98" s="3" t="s">
        <v>28</v>
      </c>
      <c r="H98" s="2" t="s">
        <v>65</v>
      </c>
      <c r="I98" s="2" t="s">
        <v>364</v>
      </c>
      <c r="J98" s="3" t="str">
        <f>HYPERLINK("https://www.boe.es/gazeta/dias/1819/08/03/pdfs/GMD-1819-93.pdf#page=8","Abrir facsímil")</f>
        <v>Abrir facsímil</v>
      </c>
      <c r="K98" s="3" t="s">
        <v>67</v>
      </c>
    </row>
    <row r="99" spans="1:11" ht="42" customHeight="1">
      <c r="A99" s="2" t="s">
        <v>365</v>
      </c>
      <c r="B99" s="2" t="s">
        <v>366</v>
      </c>
      <c r="C99" s="2" t="s">
        <v>26</v>
      </c>
      <c r="D99" s="2" t="s">
        <v>18</v>
      </c>
      <c r="E99" s="5">
        <v>-29430</v>
      </c>
      <c r="F99" s="3" t="s">
        <v>178</v>
      </c>
      <c r="G99" s="3" t="s">
        <v>28</v>
      </c>
      <c r="H99" s="2" t="s">
        <v>65</v>
      </c>
      <c r="I99" s="2" t="s">
        <v>367</v>
      </c>
      <c r="J99" s="3" t="str">
        <f>HYPERLINK("https://www.boe.es/gazeta/dias/1819/06/03/pdfs/GMD-1819-66.pdf#page=8","Abrir facsímil")</f>
        <v>Abrir facsímil</v>
      </c>
      <c r="K99" s="3" t="s">
        <v>67</v>
      </c>
    </row>
    <row r="100" spans="1:11" ht="42" customHeight="1">
      <c r="A100" s="2" t="s">
        <v>368</v>
      </c>
      <c r="B100" s="2" t="s">
        <v>369</v>
      </c>
      <c r="C100" s="2" t="s">
        <v>80</v>
      </c>
      <c r="D100" s="2" t="s">
        <v>81</v>
      </c>
      <c r="E100" s="5">
        <v>-29267</v>
      </c>
      <c r="F100" s="3" t="s">
        <v>370</v>
      </c>
      <c r="G100" s="3" t="s">
        <v>55</v>
      </c>
      <c r="H100" s="2" t="s">
        <v>65</v>
      </c>
      <c r="I100" s="2" t="s">
        <v>371</v>
      </c>
      <c r="J100" s="3" t="str">
        <f>HYPERLINK("https://www.boe.es/gazeta/dias/1819/11/13/pdfs/GMD-1819-140.pdf#page=7","Abrir facsímil")</f>
        <v>Abrir facsímil</v>
      </c>
      <c r="K100" s="3" t="s">
        <v>67</v>
      </c>
    </row>
    <row r="101" spans="1:11" ht="42" customHeight="1">
      <c r="A101" s="2" t="s">
        <v>372</v>
      </c>
      <c r="B101" s="2" t="s">
        <v>373</v>
      </c>
      <c r="C101" s="2" t="s">
        <v>80</v>
      </c>
      <c r="D101" s="2" t="s">
        <v>81</v>
      </c>
      <c r="E101" s="5">
        <v>-29257</v>
      </c>
      <c r="F101" s="3" t="s">
        <v>73</v>
      </c>
      <c r="G101" s="3" t="s">
        <v>33</v>
      </c>
      <c r="H101" s="2" t="s">
        <v>65</v>
      </c>
      <c r="I101" s="2" t="s">
        <v>374</v>
      </c>
      <c r="J101" s="3" t="str">
        <f>HYPERLINK("https://www.boe.es/gazeta/dias/1819/11/23/pdfs/GMD-1819-144.pdf#page=6","Abrir facsímil")</f>
        <v>Abrir facsímil</v>
      </c>
      <c r="K101" s="3" t="s">
        <v>67</v>
      </c>
    </row>
    <row r="102" spans="1:11" ht="42" customHeight="1">
      <c r="A102" s="2" t="s">
        <v>375</v>
      </c>
      <c r="B102" s="2" t="s">
        <v>375</v>
      </c>
      <c r="C102" s="2" t="s">
        <v>59</v>
      </c>
      <c r="D102" s="2" t="s">
        <v>18</v>
      </c>
      <c r="E102" s="5">
        <v>-29582</v>
      </c>
      <c r="F102" s="3" t="s">
        <v>376</v>
      </c>
      <c r="G102" s="3" t="s">
        <v>239</v>
      </c>
      <c r="H102" s="2" t="s">
        <v>65</v>
      </c>
      <c r="I102" s="2" t="s">
        <v>377</v>
      </c>
      <c r="J102" s="3" t="str">
        <f>HYPERLINK("https://www.boe.es/gazeta/dias/1819/01/02/pdfs/GMD-1819-1.pdf#page=1","Abrir facsímil")</f>
        <v>Abrir facsímil</v>
      </c>
      <c r="K102" s="3" t="s">
        <v>67</v>
      </c>
    </row>
    <row r="103" spans="1:11" ht="42" customHeight="1">
      <c r="A103" s="2" t="s">
        <v>375</v>
      </c>
      <c r="B103" s="2" t="s">
        <v>375</v>
      </c>
      <c r="C103" s="2" t="s">
        <v>63</v>
      </c>
      <c r="D103" s="2" t="s">
        <v>43</v>
      </c>
      <c r="E103" s="5">
        <v>-29430</v>
      </c>
      <c r="F103" s="3" t="s">
        <v>178</v>
      </c>
      <c r="G103" s="3" t="s">
        <v>33</v>
      </c>
      <c r="H103" s="2" t="s">
        <v>65</v>
      </c>
      <c r="I103" s="2" t="s">
        <v>378</v>
      </c>
      <c r="J103" s="3" t="str">
        <f>HYPERLINK("https://www.boe.es/gazeta/dias/1819/06/03/pdfs/GMD-1819-66.pdf#page=6","Abrir facsímil")</f>
        <v>Abrir facsímil</v>
      </c>
      <c r="K103" s="3" t="s">
        <v>67</v>
      </c>
    </row>
    <row r="104" spans="1:11" ht="42" customHeight="1">
      <c r="A104" s="2" t="s">
        <v>375</v>
      </c>
      <c r="B104" s="2" t="s">
        <v>375</v>
      </c>
      <c r="C104" s="2" t="s">
        <v>59</v>
      </c>
      <c r="D104" s="2" t="s">
        <v>18</v>
      </c>
      <c r="E104" s="5">
        <v>-29236</v>
      </c>
      <c r="F104" s="3" t="s">
        <v>379</v>
      </c>
      <c r="G104" s="3" t="s">
        <v>380</v>
      </c>
      <c r="H104" s="2" t="s">
        <v>65</v>
      </c>
      <c r="I104" s="2" t="s">
        <v>381</v>
      </c>
      <c r="J104" s="3" t="str">
        <f>HYPERLINK("https://www.boe.es/gazeta/dias/1819/12/14/pdfs/GMD-1819-153.pdf#page=4","Abrir facsímil")</f>
        <v>Abrir facsímil</v>
      </c>
      <c r="K104" s="3" t="s">
        <v>67</v>
      </c>
    </row>
    <row r="105" spans="1:11" ht="42" customHeight="1">
      <c r="A105" s="2" t="s">
        <v>382</v>
      </c>
      <c r="B105" s="2" t="s">
        <v>383</v>
      </c>
      <c r="C105" s="2" t="s">
        <v>17</v>
      </c>
      <c r="D105" s="2" t="s">
        <v>18</v>
      </c>
      <c r="E105" s="5">
        <v>-29276</v>
      </c>
      <c r="F105" s="3" t="s">
        <v>54</v>
      </c>
      <c r="G105" s="3" t="s">
        <v>284</v>
      </c>
      <c r="H105" s="2" t="s">
        <v>65</v>
      </c>
      <c r="I105" s="2" t="s">
        <v>384</v>
      </c>
      <c r="J105" s="3" t="str">
        <f>HYPERLINK("https://www.boe.es/gazeta/dias/1819/11/04/pdfs/GMD-1819-136.pdf#page=6","Abrir facsímil")</f>
        <v>Abrir facsímil</v>
      </c>
      <c r="K105" s="3" t="s">
        <v>67</v>
      </c>
    </row>
    <row r="106" spans="1:11" ht="42" customHeight="1">
      <c r="A106" s="2" t="s">
        <v>385</v>
      </c>
      <c r="B106" s="2" t="s">
        <v>386</v>
      </c>
      <c r="C106" s="2" t="s">
        <v>63</v>
      </c>
      <c r="D106" s="2" t="s">
        <v>43</v>
      </c>
      <c r="E106" s="5">
        <v>-29516</v>
      </c>
      <c r="F106" s="3" t="s">
        <v>137</v>
      </c>
      <c r="G106" s="3" t="s">
        <v>20</v>
      </c>
      <c r="H106" s="2" t="s">
        <v>65</v>
      </c>
      <c r="I106" s="2" t="s">
        <v>387</v>
      </c>
      <c r="J106" s="3" t="str">
        <f>HYPERLINK("https://www.boe.es/gazeta/dias/1819/03/09/pdfs/GMD-1819-29.pdf#page=10","Abrir facsímil")</f>
        <v>Abrir facsímil</v>
      </c>
      <c r="K106" s="3" t="s">
        <v>67</v>
      </c>
    </row>
    <row r="107" spans="1:11" ht="42" customHeight="1">
      <c r="A107" s="2" t="s">
        <v>388</v>
      </c>
      <c r="B107" s="2" t="s">
        <v>389</v>
      </c>
      <c r="C107" s="2" t="s">
        <v>63</v>
      </c>
      <c r="D107" s="2" t="s">
        <v>43</v>
      </c>
      <c r="E107" s="5">
        <v>-29295</v>
      </c>
      <c r="F107" s="3" t="s">
        <v>390</v>
      </c>
      <c r="G107" s="3" t="s">
        <v>28</v>
      </c>
      <c r="H107" s="2" t="s">
        <v>65</v>
      </c>
      <c r="I107" s="2" t="s">
        <v>391</v>
      </c>
      <c r="J107" s="3" t="str">
        <f>HYPERLINK("https://www.boe.es/gazeta/dias/1819/10/16/pdfs/GMD-1819-127.pdf#page=8","Abrir facsímil")</f>
        <v>Abrir facsímil</v>
      </c>
      <c r="K107" s="3" t="s">
        <v>67</v>
      </c>
    </row>
    <row r="108" spans="1:11" ht="42" customHeight="1">
      <c r="A108" s="2" t="s">
        <v>392</v>
      </c>
      <c r="B108" s="2" t="s">
        <v>392</v>
      </c>
      <c r="C108" s="2" t="s">
        <v>59</v>
      </c>
      <c r="D108" s="2" t="s">
        <v>18</v>
      </c>
      <c r="E108" s="5">
        <v>-29472</v>
      </c>
      <c r="F108" s="3" t="s">
        <v>393</v>
      </c>
      <c r="G108" s="3" t="s">
        <v>28</v>
      </c>
      <c r="H108" s="2" t="s">
        <v>65</v>
      </c>
      <c r="I108" s="2" t="s">
        <v>394</v>
      </c>
      <c r="J108" s="3" t="str">
        <f>HYPERLINK("https://www.boe.es/gazeta/dias/1819/04/22/pdfs/GMD-1819-48.pdf#page=8","Abrir facsímil")</f>
        <v>Abrir facsímil</v>
      </c>
      <c r="K108" s="3" t="s">
        <v>67</v>
      </c>
    </row>
    <row r="109" spans="1:11" ht="42" customHeight="1">
      <c r="A109" s="2" t="s">
        <v>392</v>
      </c>
      <c r="B109" s="2" t="s">
        <v>392</v>
      </c>
      <c r="C109" s="2" t="s">
        <v>215</v>
      </c>
      <c r="D109" s="2" t="s">
        <v>18</v>
      </c>
      <c r="E109" s="5">
        <v>-29248</v>
      </c>
      <c r="F109" s="3" t="s">
        <v>395</v>
      </c>
      <c r="G109" s="3" t="s">
        <v>138</v>
      </c>
      <c r="H109" s="2" t="s">
        <v>65</v>
      </c>
      <c r="I109" s="2" t="s">
        <v>396</v>
      </c>
      <c r="J109" s="3" t="str">
        <f>HYPERLINK("https://www.boe.es/gazeta/dias/1819/12/02/pdfs/GMD-1819-148.pdf#page=12","Abrir facsímil")</f>
        <v>Abrir facsímil</v>
      </c>
      <c r="K109" s="3" t="s">
        <v>67</v>
      </c>
    </row>
    <row r="110" spans="1:11" ht="42" customHeight="1">
      <c r="A110" s="2" t="s">
        <v>392</v>
      </c>
      <c r="B110" s="2" t="s">
        <v>392</v>
      </c>
      <c r="C110" s="2" t="s">
        <v>80</v>
      </c>
      <c r="D110" s="2" t="s">
        <v>81</v>
      </c>
      <c r="E110" s="5">
        <v>-29220</v>
      </c>
      <c r="F110" s="3" t="s">
        <v>397</v>
      </c>
      <c r="G110" s="3" t="s">
        <v>28</v>
      </c>
      <c r="H110" s="2" t="s">
        <v>65</v>
      </c>
      <c r="I110" s="2" t="s">
        <v>398</v>
      </c>
      <c r="J110" s="3" t="str">
        <f>HYPERLINK("https://www.boe.es/gazeta/dias/1819/12/30/pdfs/GMD-1819-160.pdf#page=8","Abrir facsímil")</f>
        <v>Abrir facsímil</v>
      </c>
      <c r="K110" s="3" t="s">
        <v>67</v>
      </c>
    </row>
    <row r="111" spans="1:11" ht="42" customHeight="1">
      <c r="A111" s="2" t="s">
        <v>399</v>
      </c>
      <c r="B111" s="2" t="s">
        <v>400</v>
      </c>
      <c r="C111" s="2" t="s">
        <v>63</v>
      </c>
      <c r="D111" s="2" t="s">
        <v>43</v>
      </c>
      <c r="E111" s="5">
        <v>-29484</v>
      </c>
      <c r="F111" s="3" t="s">
        <v>295</v>
      </c>
      <c r="G111" s="3" t="s">
        <v>296</v>
      </c>
      <c r="H111" s="2" t="s">
        <v>65</v>
      </c>
      <c r="I111" s="2" t="s">
        <v>401</v>
      </c>
      <c r="J111" s="3" t="str">
        <f>HYPERLINK("https://www.boe.es/gazeta/dias/1819/04/10/pdfs/GMD-1819-43.pdf#page=4","Abrir facsímil")</f>
        <v>Abrir facsímil</v>
      </c>
      <c r="K111" s="3" t="s">
        <v>67</v>
      </c>
    </row>
    <row r="112" spans="1:11" ht="42" customHeight="1">
      <c r="A112" s="2" t="s">
        <v>402</v>
      </c>
      <c r="B112" s="2" t="s">
        <v>403</v>
      </c>
      <c r="C112" s="2" t="s">
        <v>59</v>
      </c>
      <c r="D112" s="2" t="s">
        <v>18</v>
      </c>
      <c r="E112" s="5">
        <v>-29493</v>
      </c>
      <c r="F112" s="3" t="s">
        <v>404</v>
      </c>
      <c r="G112" s="3" t="s">
        <v>55</v>
      </c>
      <c r="H112" s="2" t="s">
        <v>65</v>
      </c>
      <c r="I112" s="2" t="s">
        <v>405</v>
      </c>
      <c r="J112" s="3" t="str">
        <f>HYPERLINK("https://www.boe.es/gazeta/dias/1819/04/01/pdfs/GMD-1819-39.pdf#page=7","Abrir facsímil")</f>
        <v>Abrir facsímil</v>
      </c>
      <c r="K112" s="3" t="s">
        <v>67</v>
      </c>
    </row>
    <row r="113" spans="1:11" ht="42" customHeight="1">
      <c r="A113" s="2" t="s">
        <v>406</v>
      </c>
      <c r="B113" s="2" t="s">
        <v>407</v>
      </c>
      <c r="C113" s="2" t="s">
        <v>63</v>
      </c>
      <c r="D113" s="2" t="s">
        <v>43</v>
      </c>
      <c r="E113" s="5">
        <v>-29316</v>
      </c>
      <c r="F113" s="3" t="s">
        <v>166</v>
      </c>
      <c r="G113" s="3" t="s">
        <v>55</v>
      </c>
      <c r="H113" s="2" t="s">
        <v>65</v>
      </c>
      <c r="I113" s="2" t="s">
        <v>408</v>
      </c>
      <c r="J113" s="3" t="str">
        <f>HYPERLINK("https://www.boe.es/gazeta/dias/1819/09/25/pdfs/GMD-1819-118.pdf#page=7","Abrir facsímil")</f>
        <v>Abrir facsímil</v>
      </c>
      <c r="K113" s="3" t="s">
        <v>67</v>
      </c>
    </row>
    <row r="114" spans="1:11" ht="42" customHeight="1">
      <c r="A114" s="2" t="s">
        <v>409</v>
      </c>
      <c r="B114" s="2" t="s">
        <v>410</v>
      </c>
      <c r="C114" s="2" t="s">
        <v>59</v>
      </c>
      <c r="D114" s="2" t="s">
        <v>18</v>
      </c>
      <c r="E114" s="5">
        <v>-29379</v>
      </c>
      <c r="F114" s="3" t="s">
        <v>161</v>
      </c>
      <c r="G114" s="3" t="s">
        <v>162</v>
      </c>
      <c r="H114" s="2" t="s">
        <v>65</v>
      </c>
      <c r="I114" s="2" t="s">
        <v>411</v>
      </c>
      <c r="J114" s="3" t="str">
        <f>HYPERLINK("https://www.boe.es/gazeta/dias/1819/07/24/pdfs/GMD-1819-89.pdf#page=5","Abrir facsímil")</f>
        <v>Abrir facsímil</v>
      </c>
      <c r="K114" s="3" t="s">
        <v>67</v>
      </c>
    </row>
    <row r="115" spans="1:11" ht="42" customHeight="1">
      <c r="A115" s="2" t="s">
        <v>412</v>
      </c>
      <c r="B115" s="2" t="s">
        <v>413</v>
      </c>
      <c r="C115" s="2" t="s">
        <v>26</v>
      </c>
      <c r="D115" s="2" t="s">
        <v>18</v>
      </c>
      <c r="E115" s="5">
        <v>-29582</v>
      </c>
      <c r="F115" s="3" t="s">
        <v>376</v>
      </c>
      <c r="G115" s="3" t="s">
        <v>28</v>
      </c>
      <c r="H115" s="2" t="s">
        <v>65</v>
      </c>
      <c r="I115" s="2" t="s">
        <v>414</v>
      </c>
      <c r="J115" s="3" t="str">
        <f>HYPERLINK("https://www.boe.es/gazeta/dias/1819/01/02/pdfs/GMD-1819-1.pdf#page=8","Abrir facsímil")</f>
        <v>Abrir facsímil</v>
      </c>
      <c r="K115" s="3" t="s">
        <v>67</v>
      </c>
    </row>
    <row r="116" spans="1:11" ht="42" customHeight="1">
      <c r="A116" s="2" t="s">
        <v>415</v>
      </c>
      <c r="B116" s="2" t="s">
        <v>416</v>
      </c>
      <c r="C116" s="2" t="s">
        <v>63</v>
      </c>
      <c r="D116" s="2" t="s">
        <v>43</v>
      </c>
      <c r="E116" s="5">
        <v>-29316</v>
      </c>
      <c r="F116" s="3" t="s">
        <v>166</v>
      </c>
      <c r="G116" s="3" t="s">
        <v>28</v>
      </c>
      <c r="H116" s="2" t="s">
        <v>65</v>
      </c>
      <c r="I116" s="2" t="s">
        <v>417</v>
      </c>
      <c r="J116" s="3" t="str">
        <f>HYPERLINK("https://www.boe.es/gazeta/dias/1819/09/25/pdfs/GMD-1819-118.pdf#page=8","Abrir facsímil")</f>
        <v>Abrir facsímil</v>
      </c>
      <c r="K116" s="3" t="s">
        <v>67</v>
      </c>
    </row>
    <row r="117" spans="1:11" ht="42" customHeight="1">
      <c r="A117" s="2" t="s">
        <v>418</v>
      </c>
      <c r="B117" s="2" t="s">
        <v>419</v>
      </c>
      <c r="C117" s="2" t="s">
        <v>63</v>
      </c>
      <c r="D117" s="2" t="s">
        <v>43</v>
      </c>
      <c r="E117" s="5">
        <v>-29409</v>
      </c>
      <c r="F117" s="3" t="s">
        <v>106</v>
      </c>
      <c r="G117" s="3" t="s">
        <v>28</v>
      </c>
      <c r="H117" s="2" t="s">
        <v>65</v>
      </c>
      <c r="I117" s="2" t="s">
        <v>420</v>
      </c>
      <c r="J117" s="3" t="str">
        <f>HYPERLINK("https://www.boe.es/gazeta/dias/1819/06/24/pdfs/GMD-1819-76.pdf#page=8","Abrir facsímil")</f>
        <v>Abrir facsímil</v>
      </c>
      <c r="K117" s="3" t="s">
        <v>67</v>
      </c>
    </row>
    <row r="118" spans="1:11" ht="42" customHeight="1">
      <c r="A118" s="2" t="s">
        <v>418</v>
      </c>
      <c r="B118" s="2" t="s">
        <v>419</v>
      </c>
      <c r="C118" s="2" t="s">
        <v>63</v>
      </c>
      <c r="D118" s="2" t="s">
        <v>43</v>
      </c>
      <c r="E118" s="5">
        <v>-29316</v>
      </c>
      <c r="F118" s="3" t="s">
        <v>166</v>
      </c>
      <c r="G118" s="3" t="s">
        <v>94</v>
      </c>
      <c r="H118" s="2" t="s">
        <v>65</v>
      </c>
      <c r="I118" s="2" t="s">
        <v>421</v>
      </c>
      <c r="J118" s="3" t="str">
        <f>HYPERLINK("https://www.boe.es/gazeta/dias/1819/09/25/pdfs/GMD-1819-118.pdf#page=11","Abrir facsímil")</f>
        <v>Abrir facsímil</v>
      </c>
      <c r="K118" s="3" t="s">
        <v>67</v>
      </c>
    </row>
    <row r="119" spans="1:11" ht="42" customHeight="1">
      <c r="A119" s="2" t="s">
        <v>422</v>
      </c>
      <c r="B119" s="2" t="s">
        <v>423</v>
      </c>
      <c r="C119" s="2" t="s">
        <v>59</v>
      </c>
      <c r="D119" s="2" t="s">
        <v>18</v>
      </c>
      <c r="E119" s="5">
        <v>-29355</v>
      </c>
      <c r="F119" s="3" t="s">
        <v>347</v>
      </c>
      <c r="G119" s="3" t="s">
        <v>348</v>
      </c>
      <c r="H119" s="2" t="s">
        <v>65</v>
      </c>
      <c r="I119" s="2" t="s">
        <v>424</v>
      </c>
      <c r="J119" s="3" t="str">
        <f>HYPERLINK("https://www.boe.es/gazeta/dias/1819/08/17/pdfs/GMD-1819-99.pdf#page=6","Abrir facsímil")</f>
        <v>Abrir facsímil</v>
      </c>
      <c r="K119" s="3" t="s">
        <v>67</v>
      </c>
    </row>
    <row r="120" spans="1:11" ht="42" customHeight="1">
      <c r="A120" s="2" t="s">
        <v>425</v>
      </c>
      <c r="B120" s="2" t="s">
        <v>426</v>
      </c>
      <c r="C120" s="2" t="s">
        <v>26</v>
      </c>
      <c r="D120" s="2" t="s">
        <v>18</v>
      </c>
      <c r="E120" s="5">
        <v>-29442</v>
      </c>
      <c r="F120" s="3" t="s">
        <v>427</v>
      </c>
      <c r="G120" s="3" t="s">
        <v>28</v>
      </c>
      <c r="H120" s="2" t="s">
        <v>65</v>
      </c>
      <c r="I120" s="2" t="s">
        <v>428</v>
      </c>
      <c r="J120" s="3" t="str">
        <f>HYPERLINK("https://www.boe.es/gazeta/dias/1819/05/22/pdfs/GMD-1819-61.pdf#page=8","Abrir facsímil")</f>
        <v>Abrir facsímil</v>
      </c>
      <c r="K120" s="3" t="s">
        <v>67</v>
      </c>
    </row>
    <row r="121" spans="1:11" ht="42" customHeight="1">
      <c r="A121" s="2" t="s">
        <v>429</v>
      </c>
      <c r="B121" s="2" t="s">
        <v>430</v>
      </c>
      <c r="C121" s="2" t="s">
        <v>59</v>
      </c>
      <c r="D121" s="2" t="s">
        <v>18</v>
      </c>
      <c r="E121" s="5">
        <v>-29355</v>
      </c>
      <c r="F121" s="3" t="s">
        <v>347</v>
      </c>
      <c r="G121" s="3" t="s">
        <v>348</v>
      </c>
      <c r="H121" s="2" t="s">
        <v>65</v>
      </c>
      <c r="I121" s="2" t="s">
        <v>431</v>
      </c>
      <c r="J121" s="3" t="str">
        <f>HYPERLINK("https://www.boe.es/gazeta/dias/1819/08/17/pdfs/GMD-1819-99.pdf#page=6","Abrir facsímil")</f>
        <v>Abrir facsímil</v>
      </c>
      <c r="K121" s="3" t="s">
        <v>67</v>
      </c>
    </row>
    <row r="122" spans="1:11" ht="42" customHeight="1">
      <c r="A122" s="2" t="s">
        <v>432</v>
      </c>
      <c r="B122" s="2" t="s">
        <v>432</v>
      </c>
      <c r="C122" s="2" t="s">
        <v>59</v>
      </c>
      <c r="D122" s="2" t="s">
        <v>18</v>
      </c>
      <c r="E122" s="5">
        <v>-29295</v>
      </c>
      <c r="F122" s="3" t="s">
        <v>390</v>
      </c>
      <c r="G122" s="3" t="s">
        <v>28</v>
      </c>
      <c r="H122" s="2" t="s">
        <v>65</v>
      </c>
      <c r="I122" s="2" t="s">
        <v>433</v>
      </c>
      <c r="J122" s="3" t="str">
        <f>HYPERLINK("https://www.boe.es/gazeta/dias/1819/10/16/pdfs/GMD-1819-127.pdf#page=8","Abrir facsímil")</f>
        <v>Abrir facsímil</v>
      </c>
      <c r="K122" s="3" t="s">
        <v>67</v>
      </c>
    </row>
    <row r="123" spans="1:11" ht="42" customHeight="1">
      <c r="A123" s="2" t="s">
        <v>434</v>
      </c>
      <c r="B123" s="2" t="s">
        <v>435</v>
      </c>
      <c r="C123" s="2" t="s">
        <v>26</v>
      </c>
      <c r="D123" s="2" t="s">
        <v>18</v>
      </c>
      <c r="E123" s="5">
        <v>-29523</v>
      </c>
      <c r="F123" s="3" t="s">
        <v>436</v>
      </c>
      <c r="G123" s="3" t="s">
        <v>437</v>
      </c>
      <c r="H123" s="2" t="s">
        <v>65</v>
      </c>
      <c r="I123" s="2" t="s">
        <v>438</v>
      </c>
      <c r="J123" s="3" t="str">
        <f>HYPERLINK("https://www.boe.es/gazeta/dias/1819/03/02/pdfs/GMD-1819-26.pdf#page=5","Abrir facsímil")</f>
        <v>Abrir facsímil</v>
      </c>
      <c r="K123" s="3" t="s">
        <v>67</v>
      </c>
    </row>
    <row r="124" spans="1:11" ht="42" customHeight="1">
      <c r="A124" s="2" t="s">
        <v>439</v>
      </c>
      <c r="B124" s="2" t="s">
        <v>440</v>
      </c>
      <c r="C124" s="2" t="s">
        <v>59</v>
      </c>
      <c r="D124" s="2" t="s">
        <v>18</v>
      </c>
      <c r="E124" s="5">
        <v>-29271</v>
      </c>
      <c r="F124" s="3" t="s">
        <v>32</v>
      </c>
      <c r="G124" s="3" t="s">
        <v>55</v>
      </c>
      <c r="H124" s="2" t="s">
        <v>65</v>
      </c>
      <c r="I124" s="2" t="s">
        <v>441</v>
      </c>
      <c r="J124" s="3" t="str">
        <f>HYPERLINK("https://www.boe.es/gazeta/dias/1819/11/09/pdfs/GMD-1819-138.pdf#page=7","Abrir facsímil")</f>
        <v>Abrir facsímil</v>
      </c>
      <c r="K124" s="3" t="s">
        <v>67</v>
      </c>
    </row>
    <row r="125" spans="1:11" ht="42" customHeight="1">
      <c r="A125" s="2" t="s">
        <v>442</v>
      </c>
      <c r="B125" s="2" t="s">
        <v>443</v>
      </c>
      <c r="C125" s="2" t="s">
        <v>63</v>
      </c>
      <c r="D125" s="2" t="s">
        <v>43</v>
      </c>
      <c r="E125" s="5">
        <v>-29271</v>
      </c>
      <c r="F125" s="3" t="s">
        <v>32</v>
      </c>
      <c r="G125" s="3" t="s">
        <v>55</v>
      </c>
      <c r="H125" s="2" t="s">
        <v>65</v>
      </c>
      <c r="I125" s="2" t="s">
        <v>444</v>
      </c>
      <c r="J125" s="3" t="str">
        <f>HYPERLINK("https://www.boe.es/gazeta/dias/1819/11/09/pdfs/GMD-1819-138.pdf#page=7","Abrir facsímil")</f>
        <v>Abrir facsímil</v>
      </c>
      <c r="K125" s="3" t="s">
        <v>67</v>
      </c>
    </row>
    <row r="126" spans="1:11" ht="42" customHeight="1">
      <c r="A126" s="2" t="s">
        <v>445</v>
      </c>
      <c r="B126" s="2" t="s">
        <v>446</v>
      </c>
      <c r="C126" s="2" t="s">
        <v>80</v>
      </c>
      <c r="D126" s="2" t="s">
        <v>81</v>
      </c>
      <c r="E126" s="5">
        <v>-29418</v>
      </c>
      <c r="F126" s="3" t="s">
        <v>447</v>
      </c>
      <c r="G126" s="3" t="s">
        <v>28</v>
      </c>
      <c r="H126" s="2" t="s">
        <v>65</v>
      </c>
      <c r="I126" s="2" t="s">
        <v>448</v>
      </c>
      <c r="J126" s="3" t="str">
        <f>HYPERLINK("https://www.boe.es/gazeta/dias/1819/06/15/pdfs/GMD-1819-72.pdf#page=8","Abrir facsímil")</f>
        <v>Abrir facsímil</v>
      </c>
      <c r="K126" s="3" t="s">
        <v>67</v>
      </c>
    </row>
    <row r="127" spans="1:11" ht="42" customHeight="1">
      <c r="A127" s="2" t="s">
        <v>449</v>
      </c>
      <c r="B127" s="2" t="s">
        <v>450</v>
      </c>
      <c r="C127" s="2" t="s">
        <v>63</v>
      </c>
      <c r="D127" s="2" t="s">
        <v>43</v>
      </c>
      <c r="E127" s="5">
        <v>-29358</v>
      </c>
      <c r="F127" s="3" t="s">
        <v>170</v>
      </c>
      <c r="G127" s="3" t="s">
        <v>55</v>
      </c>
      <c r="H127" s="2" t="s">
        <v>65</v>
      </c>
      <c r="I127" s="2" t="s">
        <v>451</v>
      </c>
      <c r="J127" s="3" t="str">
        <f>HYPERLINK("https://www.boe.es/gazeta/dias/1819/08/14/pdfs/GMD-1819-98.pdf#page=7","Abrir facsímil")</f>
        <v>Abrir facsímil</v>
      </c>
      <c r="K127" s="3" t="s">
        <v>67</v>
      </c>
    </row>
    <row r="128" spans="1:11" ht="42" customHeight="1">
      <c r="A128" s="2" t="s">
        <v>452</v>
      </c>
      <c r="B128" s="2" t="s">
        <v>453</v>
      </c>
      <c r="C128" s="2" t="s">
        <v>80</v>
      </c>
      <c r="D128" s="2" t="s">
        <v>454</v>
      </c>
      <c r="E128" s="5">
        <v>-29287</v>
      </c>
      <c r="F128" s="3" t="s">
        <v>455</v>
      </c>
      <c r="G128" s="3" t="s">
        <v>456</v>
      </c>
      <c r="H128" s="2" t="s">
        <v>65</v>
      </c>
      <c r="I128" s="2" t="s">
        <v>457</v>
      </c>
      <c r="J128" s="3" t="str">
        <f>HYPERLINK("https://www.boe.es/gazeta/dias/1819/10/24/pdfs/GMD-1819-131E.pdf#page=9","Abrir facsímil")</f>
        <v>Abrir facsímil</v>
      </c>
      <c r="K128" s="3" t="s">
        <v>67</v>
      </c>
    </row>
    <row r="129" spans="1:11" ht="42" customHeight="1">
      <c r="A129" s="2" t="s">
        <v>458</v>
      </c>
      <c r="B129" s="2" t="s">
        <v>459</v>
      </c>
      <c r="C129" s="2" t="s">
        <v>63</v>
      </c>
      <c r="D129" s="2" t="s">
        <v>43</v>
      </c>
      <c r="E129" s="5">
        <v>-29435</v>
      </c>
      <c r="F129" s="3" t="s">
        <v>191</v>
      </c>
      <c r="G129" s="3" t="s">
        <v>33</v>
      </c>
      <c r="H129" s="2" t="s">
        <v>65</v>
      </c>
      <c r="I129" s="2" t="s">
        <v>460</v>
      </c>
      <c r="J129" s="3" t="str">
        <f>HYPERLINK("https://www.boe.es/gazeta/dias/1819/05/29/pdfs/GMD-1819-64.pdf#page=6","Abrir facsímil")</f>
        <v>Abrir facsímil</v>
      </c>
      <c r="K129" s="3" t="s">
        <v>67</v>
      </c>
    </row>
    <row r="130" spans="1:11" ht="42" customHeight="1">
      <c r="A130" s="2" t="s">
        <v>461</v>
      </c>
      <c r="B130" s="2" t="s">
        <v>462</v>
      </c>
      <c r="C130" s="2" t="s">
        <v>63</v>
      </c>
      <c r="D130" s="2" t="s">
        <v>454</v>
      </c>
      <c r="E130" s="5">
        <v>-29287</v>
      </c>
      <c r="F130" s="3" t="s">
        <v>455</v>
      </c>
      <c r="G130" s="3" t="s">
        <v>456</v>
      </c>
      <c r="H130" s="2" t="s">
        <v>21</v>
      </c>
      <c r="I130" s="2" t="s">
        <v>463</v>
      </c>
      <c r="J130" s="3" t="str">
        <f>HYPERLINK("https://www.boe.es/gazeta/dias/1819/10/24/pdfs/GMD-1819-131E.pdf#page=9","Abrir facsímil")</f>
        <v>Abrir facsímil</v>
      </c>
      <c r="K130" s="3" t="s">
        <v>23</v>
      </c>
    </row>
    <row r="131" spans="1:11" ht="42" customHeight="1">
      <c r="A131" s="2" t="s">
        <v>464</v>
      </c>
      <c r="B131" s="2" t="s">
        <v>465</v>
      </c>
      <c r="C131" s="2" t="s">
        <v>63</v>
      </c>
      <c r="D131" s="2" t="s">
        <v>43</v>
      </c>
      <c r="E131" s="5">
        <v>-29281</v>
      </c>
      <c r="F131" s="3" t="s">
        <v>19</v>
      </c>
      <c r="G131" s="3" t="s">
        <v>55</v>
      </c>
      <c r="H131" s="2" t="s">
        <v>65</v>
      </c>
      <c r="I131" s="2" t="s">
        <v>466</v>
      </c>
      <c r="J131" s="3" t="str">
        <f>HYPERLINK("https://www.boe.es/gazeta/dias/1819/10/30/pdfs/GMD-1819-134.pdf#page=7","Abrir facsímil")</f>
        <v>Abrir facsímil</v>
      </c>
      <c r="K131" s="3" t="s">
        <v>67</v>
      </c>
    </row>
    <row r="132" spans="1:11" ht="42" customHeight="1">
      <c r="A132" s="2" t="s">
        <v>467</v>
      </c>
      <c r="B132" s="2" t="s">
        <v>467</v>
      </c>
      <c r="C132" s="2" t="s">
        <v>59</v>
      </c>
      <c r="D132" s="2" t="s">
        <v>18</v>
      </c>
      <c r="E132" s="5">
        <v>-29456</v>
      </c>
      <c r="F132" s="3" t="s">
        <v>468</v>
      </c>
      <c r="G132" s="3" t="s">
        <v>33</v>
      </c>
      <c r="H132" s="2" t="s">
        <v>65</v>
      </c>
      <c r="I132" s="2" t="s">
        <v>469</v>
      </c>
      <c r="J132" s="3" t="str">
        <f>HYPERLINK("https://www.boe.es/gazeta/dias/1819/05/08/pdfs/GMD-1819-55.pdf#page=6","Abrir facsímil")</f>
        <v>Abrir facsímil</v>
      </c>
      <c r="K132" s="3" t="s">
        <v>67</v>
      </c>
    </row>
    <row r="133" spans="1:11" ht="42" customHeight="1">
      <c r="A133" s="2" t="s">
        <v>470</v>
      </c>
      <c r="B133" s="2" t="s">
        <v>471</v>
      </c>
      <c r="C133" s="2" t="s">
        <v>17</v>
      </c>
      <c r="D133" s="2" t="s">
        <v>18</v>
      </c>
      <c r="E133" s="5">
        <v>-29225</v>
      </c>
      <c r="F133" s="3" t="s">
        <v>472</v>
      </c>
      <c r="G133" s="3" t="s">
        <v>28</v>
      </c>
      <c r="H133" s="2" t="s">
        <v>65</v>
      </c>
      <c r="I133" s="2" t="s">
        <v>473</v>
      </c>
      <c r="J133" s="3" t="str">
        <f>HYPERLINK("https://www.boe.es/gazeta/dias/1819/12/25/pdfs/GMD-1819-158.pdf#page=8","Abrir facsímil")</f>
        <v>Abrir facsímil</v>
      </c>
      <c r="K133" s="3" t="s">
        <v>67</v>
      </c>
    </row>
    <row r="134" spans="1:11" ht="42" customHeight="1">
      <c r="A134" s="2" t="s">
        <v>474</v>
      </c>
      <c r="B134" s="2" t="s">
        <v>475</v>
      </c>
      <c r="C134" s="2" t="s">
        <v>80</v>
      </c>
      <c r="D134" s="2" t="s">
        <v>81</v>
      </c>
      <c r="E134" s="5">
        <v>-29309</v>
      </c>
      <c r="F134" s="3" t="s">
        <v>476</v>
      </c>
      <c r="G134" s="3" t="s">
        <v>477</v>
      </c>
      <c r="H134" s="2" t="s">
        <v>65</v>
      </c>
      <c r="I134" s="2" t="s">
        <v>478</v>
      </c>
      <c r="J134" s="3" t="str">
        <f>HYPERLINK("https://www.boe.es/gazeta/dias/1819/10/02/pdfs/GMD-1819-121.pdf#page=6","Abrir facsímil")</f>
        <v>Abrir facsímil</v>
      </c>
      <c r="K134" s="3" t="s">
        <v>67</v>
      </c>
    </row>
    <row r="135" spans="1:11" ht="42" customHeight="1">
      <c r="A135" s="2" t="s">
        <v>479</v>
      </c>
      <c r="B135" s="2" t="s">
        <v>480</v>
      </c>
      <c r="C135" s="2" t="s">
        <v>80</v>
      </c>
      <c r="D135" s="2" t="s">
        <v>454</v>
      </c>
      <c r="E135" s="5">
        <v>-29287</v>
      </c>
      <c r="F135" s="3" t="s">
        <v>455</v>
      </c>
      <c r="G135" s="3" t="s">
        <v>481</v>
      </c>
      <c r="H135" s="2" t="s">
        <v>65</v>
      </c>
      <c r="I135" s="2" t="s">
        <v>482</v>
      </c>
      <c r="J135" s="3" t="str">
        <f>HYPERLINK("https://www.boe.es/gazeta/dias/1819/10/24/pdfs/GMD-1819-131E.pdf#page=8","Abrir facsímil")</f>
        <v>Abrir facsímil</v>
      </c>
      <c r="K135" s="3" t="s">
        <v>67</v>
      </c>
    </row>
    <row r="136" spans="1:11" ht="42" customHeight="1">
      <c r="A136" s="2" t="s">
        <v>483</v>
      </c>
      <c r="B136" s="2" t="s">
        <v>483</v>
      </c>
      <c r="C136" s="2" t="s">
        <v>26</v>
      </c>
      <c r="D136" s="2" t="s">
        <v>18</v>
      </c>
      <c r="E136" s="5">
        <v>-29257</v>
      </c>
      <c r="F136" s="3" t="s">
        <v>73</v>
      </c>
      <c r="G136" s="3" t="s">
        <v>38</v>
      </c>
      <c r="H136" s="2" t="s">
        <v>65</v>
      </c>
      <c r="I136" s="2" t="s">
        <v>484</v>
      </c>
      <c r="J136" s="3" t="str">
        <f>HYPERLINK("https://www.boe.es/gazeta/dias/1819/11/23/pdfs/GMD-1819-144.pdf#page=5","Abrir facsímil")</f>
        <v>Abrir facsímil</v>
      </c>
      <c r="K136" s="3" t="s">
        <v>67</v>
      </c>
    </row>
    <row r="137" spans="1:11" ht="42" customHeight="1">
      <c r="A137" s="2" t="s">
        <v>485</v>
      </c>
      <c r="B137" s="2" t="s">
        <v>486</v>
      </c>
      <c r="C137" s="2" t="s">
        <v>80</v>
      </c>
      <c r="D137" s="2" t="s">
        <v>81</v>
      </c>
      <c r="E137" s="5">
        <v>-29530</v>
      </c>
      <c r="F137" s="3" t="s">
        <v>202</v>
      </c>
      <c r="G137" s="3" t="s">
        <v>138</v>
      </c>
      <c r="H137" s="2" t="s">
        <v>65</v>
      </c>
      <c r="I137" s="2" t="s">
        <v>487</v>
      </c>
      <c r="J137" s="3" t="str">
        <f>HYPERLINK("https://www.boe.es/gazeta/dias/1819/02/23/pdfs/GMD-1819-23.pdf#page=12","Abrir facsímil")</f>
        <v>Abrir facsímil</v>
      </c>
      <c r="K137" s="3" t="s">
        <v>67</v>
      </c>
    </row>
    <row r="138" spans="1:11" ht="42" customHeight="1">
      <c r="A138" s="2" t="s">
        <v>488</v>
      </c>
      <c r="B138" s="2" t="s">
        <v>489</v>
      </c>
      <c r="C138" s="2" t="s">
        <v>59</v>
      </c>
      <c r="D138" s="2" t="s">
        <v>18</v>
      </c>
      <c r="E138" s="5">
        <v>-29365</v>
      </c>
      <c r="F138" s="3" t="s">
        <v>218</v>
      </c>
      <c r="G138" s="3" t="s">
        <v>490</v>
      </c>
      <c r="H138" s="2" t="s">
        <v>65</v>
      </c>
      <c r="I138" s="2" t="s">
        <v>491</v>
      </c>
      <c r="J138" s="3" t="str">
        <f>HYPERLINK("https://www.boe.es/gazeta/dias/1819/08/07/pdfs/GMD-1819-95.pdf#page=6","Abrir facsímil")</f>
        <v>Abrir facsímil</v>
      </c>
      <c r="K138" s="3" t="s">
        <v>67</v>
      </c>
    </row>
    <row r="139" spans="1:11" ht="42" customHeight="1">
      <c r="A139" s="2" t="s">
        <v>492</v>
      </c>
      <c r="B139" s="2" t="s">
        <v>493</v>
      </c>
      <c r="C139" s="2" t="s">
        <v>63</v>
      </c>
      <c r="D139" s="2" t="s">
        <v>43</v>
      </c>
      <c r="E139" s="5">
        <v>-29246</v>
      </c>
      <c r="F139" s="3" t="s">
        <v>494</v>
      </c>
      <c r="G139" s="3" t="s">
        <v>495</v>
      </c>
      <c r="H139" s="2" t="s">
        <v>65</v>
      </c>
      <c r="I139" s="2" t="s">
        <v>496</v>
      </c>
      <c r="J139" s="3" t="str">
        <f>HYPERLINK("https://www.boe.es/gazeta/dias/1819/12/04/pdfs/GMD-1819-149.pdf#page=6","Abrir facsímil")</f>
        <v>Abrir facsímil</v>
      </c>
      <c r="K139" s="3" t="s">
        <v>67</v>
      </c>
    </row>
    <row r="140" spans="1:11" ht="42" customHeight="1">
      <c r="A140" s="2" t="s">
        <v>497</v>
      </c>
      <c r="B140" s="2" t="s">
        <v>498</v>
      </c>
      <c r="C140" s="2" t="s">
        <v>17</v>
      </c>
      <c r="D140" s="2" t="s">
        <v>18</v>
      </c>
      <c r="E140" s="5">
        <v>-29332</v>
      </c>
      <c r="F140" s="3" t="s">
        <v>499</v>
      </c>
      <c r="G140" s="3" t="s">
        <v>33</v>
      </c>
      <c r="H140" s="2" t="s">
        <v>65</v>
      </c>
      <c r="I140" s="2" t="s">
        <v>500</v>
      </c>
      <c r="J140" s="3" t="str">
        <f>HYPERLINK("https://www.boe.es/gazeta/dias/1819/09/09/pdfs/GMD-1819-110.pdf#page=6","Abrir facsímil")</f>
        <v>Abrir facsímil</v>
      </c>
      <c r="K140" s="3" t="s">
        <v>67</v>
      </c>
    </row>
    <row r="141" spans="1:11" ht="42" customHeight="1">
      <c r="A141" s="2" t="s">
        <v>501</v>
      </c>
      <c r="B141" s="2" t="s">
        <v>502</v>
      </c>
      <c r="C141" s="2" t="s">
        <v>59</v>
      </c>
      <c r="D141" s="2" t="s">
        <v>18</v>
      </c>
      <c r="E141" s="5">
        <v>-29425</v>
      </c>
      <c r="F141" s="3" t="s">
        <v>110</v>
      </c>
      <c r="G141" s="3" t="s">
        <v>55</v>
      </c>
      <c r="H141" s="2" t="s">
        <v>65</v>
      </c>
      <c r="I141" s="2" t="s">
        <v>503</v>
      </c>
      <c r="J141" s="3" t="str">
        <f>HYPERLINK("https://www.boe.es/gazeta/dias/1819/06/08/pdfs/GMD-1819-68.pdf#page=7","Abrir facsímil")</f>
        <v>Abrir facsímil</v>
      </c>
      <c r="K141" s="3" t="s">
        <v>67</v>
      </c>
    </row>
    <row r="142" spans="1:11" ht="42" customHeight="1">
      <c r="A142" s="2" t="s">
        <v>501</v>
      </c>
      <c r="B142" s="2" t="s">
        <v>502</v>
      </c>
      <c r="C142" s="2" t="s">
        <v>63</v>
      </c>
      <c r="D142" s="2" t="s">
        <v>43</v>
      </c>
      <c r="E142" s="5">
        <v>-29297</v>
      </c>
      <c r="F142" s="3" t="s">
        <v>82</v>
      </c>
      <c r="G142" s="3" t="s">
        <v>55</v>
      </c>
      <c r="H142" s="2" t="s">
        <v>65</v>
      </c>
      <c r="I142" s="2" t="s">
        <v>504</v>
      </c>
      <c r="J142" s="3" t="str">
        <f>HYPERLINK("https://www.boe.es/gazeta/dias/1819/10/14/pdfs/GMD-1819-126.pdf#page=7","Abrir facsímil")</f>
        <v>Abrir facsímil</v>
      </c>
      <c r="K142" s="3" t="s">
        <v>67</v>
      </c>
    </row>
    <row r="143" spans="1:11" ht="42" customHeight="1">
      <c r="A143" s="2" t="s">
        <v>505</v>
      </c>
      <c r="B143" s="2" t="s">
        <v>506</v>
      </c>
      <c r="C143" s="2" t="s">
        <v>80</v>
      </c>
      <c r="D143" s="2" t="s">
        <v>81</v>
      </c>
      <c r="E143" s="5">
        <v>-29556</v>
      </c>
      <c r="F143" s="3" t="s">
        <v>255</v>
      </c>
      <c r="G143" s="3" t="s">
        <v>55</v>
      </c>
      <c r="H143" s="2" t="s">
        <v>65</v>
      </c>
      <c r="I143" s="2" t="s">
        <v>507</v>
      </c>
      <c r="J143" s="3" t="str">
        <f>HYPERLINK("https://www.boe.es/gazeta/dias/1819/01/28/pdfs/GMD-1819-12.pdf#page=7","Abrir facsímil")</f>
        <v>Abrir facsímil</v>
      </c>
      <c r="K143" s="3" t="s">
        <v>67</v>
      </c>
    </row>
    <row r="144" spans="1:11" ht="42" customHeight="1">
      <c r="A144" s="2" t="s">
        <v>508</v>
      </c>
      <c r="B144" s="2" t="s">
        <v>509</v>
      </c>
      <c r="C144" s="2" t="s">
        <v>59</v>
      </c>
      <c r="D144" s="2" t="s">
        <v>18</v>
      </c>
      <c r="E144" s="5">
        <v>-29316</v>
      </c>
      <c r="F144" s="3" t="s">
        <v>166</v>
      </c>
      <c r="G144" s="3" t="s">
        <v>28</v>
      </c>
      <c r="H144" s="2" t="s">
        <v>65</v>
      </c>
      <c r="I144" s="2" t="s">
        <v>510</v>
      </c>
      <c r="J144" s="3" t="str">
        <f>HYPERLINK("https://www.boe.es/gazeta/dias/1819/09/25/pdfs/GMD-1819-118.pdf#page=8","Abrir facsímil")</f>
        <v>Abrir facsímil</v>
      </c>
      <c r="K144" s="3" t="s">
        <v>67</v>
      </c>
    </row>
    <row r="145" spans="1:11" ht="42" customHeight="1">
      <c r="A145" s="2" t="s">
        <v>511</v>
      </c>
      <c r="B145" s="2" t="s">
        <v>512</v>
      </c>
      <c r="C145" s="2" t="s">
        <v>80</v>
      </c>
      <c r="D145" s="2" t="s">
        <v>454</v>
      </c>
      <c r="E145" s="5">
        <v>-29287</v>
      </c>
      <c r="F145" s="3" t="s">
        <v>455</v>
      </c>
      <c r="G145" s="3" t="s">
        <v>456</v>
      </c>
      <c r="H145" s="2" t="s">
        <v>65</v>
      </c>
      <c r="I145" s="2" t="s">
        <v>513</v>
      </c>
      <c r="J145" s="3" t="str">
        <f>HYPERLINK("https://www.boe.es/gazeta/dias/1819/10/24/pdfs/GMD-1819-131E.pdf#page=9","Abrir facsímil")</f>
        <v>Abrir facsímil</v>
      </c>
      <c r="K145" s="3" t="s">
        <v>67</v>
      </c>
    </row>
    <row r="146" spans="1:11" ht="42" customHeight="1">
      <c r="A146" s="2" t="s">
        <v>514</v>
      </c>
      <c r="B146" s="2" t="s">
        <v>515</v>
      </c>
      <c r="C146" s="2" t="s">
        <v>17</v>
      </c>
      <c r="D146" s="2" t="s">
        <v>18</v>
      </c>
      <c r="E146" s="5">
        <v>-29276</v>
      </c>
      <c r="F146" s="3" t="s">
        <v>54</v>
      </c>
      <c r="G146" s="3" t="s">
        <v>284</v>
      </c>
      <c r="H146" s="2" t="s">
        <v>65</v>
      </c>
      <c r="I146" s="2" t="s">
        <v>516</v>
      </c>
      <c r="J146" s="3" t="str">
        <f>HYPERLINK("https://www.boe.es/gazeta/dias/1819/11/04/pdfs/GMD-1819-136.pdf#page=6","Abrir facsímil")</f>
        <v>Abrir facsímil</v>
      </c>
      <c r="K146" s="3" t="s">
        <v>67</v>
      </c>
    </row>
    <row r="147" spans="1:11" ht="42" customHeight="1">
      <c r="A147" s="2" t="s">
        <v>517</v>
      </c>
      <c r="B147" s="2" t="s">
        <v>518</v>
      </c>
      <c r="C147" s="2" t="s">
        <v>80</v>
      </c>
      <c r="D147" s="2" t="s">
        <v>81</v>
      </c>
      <c r="E147" s="5">
        <v>-29304</v>
      </c>
      <c r="F147" s="3" t="s">
        <v>519</v>
      </c>
      <c r="G147" s="3" t="s">
        <v>38</v>
      </c>
      <c r="H147" s="2" t="s">
        <v>65</v>
      </c>
      <c r="I147" s="2" t="s">
        <v>520</v>
      </c>
      <c r="J147" s="3" t="str">
        <f>HYPERLINK("https://www.boe.es/gazeta/dias/1819/10/07/pdfs/GMD-1819-123.pdf#page=5","Abrir facsímil")</f>
        <v>Abrir facsímil</v>
      </c>
      <c r="K147" s="3" t="s">
        <v>67</v>
      </c>
    </row>
    <row r="148" spans="1:11" ht="42" customHeight="1">
      <c r="A148" s="2" t="s">
        <v>521</v>
      </c>
      <c r="B148" s="2" t="s">
        <v>521</v>
      </c>
      <c r="C148" s="2" t="s">
        <v>80</v>
      </c>
      <c r="D148" s="2" t="s">
        <v>81</v>
      </c>
      <c r="E148" s="5">
        <v>-29416</v>
      </c>
      <c r="F148" s="3" t="s">
        <v>251</v>
      </c>
      <c r="G148" s="3" t="s">
        <v>38</v>
      </c>
      <c r="H148" s="2" t="s">
        <v>65</v>
      </c>
      <c r="I148" s="2" t="s">
        <v>522</v>
      </c>
      <c r="J148" s="3" t="str">
        <f>HYPERLINK("https://www.boe.es/gazeta/dias/1819/06/17/pdfs/GMD-1819-73.pdf#page=5","Abrir facsímil")</f>
        <v>Abrir facsímil</v>
      </c>
      <c r="K148" s="3" t="s">
        <v>67</v>
      </c>
    </row>
    <row r="149" spans="1:11" ht="42" customHeight="1">
      <c r="A149" s="2" t="s">
        <v>523</v>
      </c>
      <c r="B149" s="2" t="s">
        <v>524</v>
      </c>
      <c r="C149" s="2" t="s">
        <v>80</v>
      </c>
      <c r="D149" s="2" t="s">
        <v>81</v>
      </c>
      <c r="E149" s="5">
        <v>-29416</v>
      </c>
      <c r="F149" s="3" t="s">
        <v>251</v>
      </c>
      <c r="G149" s="3" t="s">
        <v>38</v>
      </c>
      <c r="H149" s="2" t="s">
        <v>65</v>
      </c>
      <c r="I149" s="2" t="s">
        <v>525</v>
      </c>
      <c r="J149" s="3" t="str">
        <f>HYPERLINK("https://www.boe.es/gazeta/dias/1819/06/17/pdfs/GMD-1819-73.pdf#page=5","Abrir facsímil")</f>
        <v>Abrir facsímil</v>
      </c>
      <c r="K149" s="3" t="s">
        <v>67</v>
      </c>
    </row>
    <row r="150" spans="1:11" ht="42" customHeight="1">
      <c r="A150" s="2" t="s">
        <v>526</v>
      </c>
      <c r="B150" s="2" t="s">
        <v>527</v>
      </c>
      <c r="C150" s="2" t="s">
        <v>80</v>
      </c>
      <c r="D150" s="2" t="s">
        <v>81</v>
      </c>
      <c r="E150" s="5">
        <v>-29456</v>
      </c>
      <c r="F150" s="3" t="s">
        <v>468</v>
      </c>
      <c r="G150" s="3" t="s">
        <v>38</v>
      </c>
      <c r="H150" s="2" t="s">
        <v>65</v>
      </c>
      <c r="I150" s="2" t="s">
        <v>528</v>
      </c>
      <c r="J150" s="3" t="str">
        <f>HYPERLINK("https://www.boe.es/gazeta/dias/1819/05/08/pdfs/GMD-1819-55.pdf#page=5","Abrir facsímil")</f>
        <v>Abrir facsímil</v>
      </c>
      <c r="K150" s="3" t="s">
        <v>67</v>
      </c>
    </row>
    <row r="151" spans="1:11" ht="42" customHeight="1">
      <c r="A151" s="2" t="s">
        <v>529</v>
      </c>
      <c r="B151" s="2" t="s">
        <v>530</v>
      </c>
      <c r="C151" s="2" t="s">
        <v>136</v>
      </c>
      <c r="D151" s="2" t="s">
        <v>18</v>
      </c>
      <c r="E151" s="5">
        <v>-29544</v>
      </c>
      <c r="F151" s="3" t="s">
        <v>531</v>
      </c>
      <c r="G151" s="3" t="s">
        <v>532</v>
      </c>
      <c r="H151" s="2" t="s">
        <v>65</v>
      </c>
      <c r="I151" s="2" t="s">
        <v>533</v>
      </c>
      <c r="J151" s="3" t="str">
        <f>HYPERLINK("https://www.boe.es/gazeta/dias/1819/02/09/pdfs/GMD-1819-17.pdf#page=8","Abrir facsímil")</f>
        <v>Abrir facsímil</v>
      </c>
      <c r="K151" s="3" t="s">
        <v>67</v>
      </c>
    </row>
    <row r="152" spans="1:11" ht="42" customHeight="1">
      <c r="A152" s="2" t="s">
        <v>534</v>
      </c>
      <c r="B152" s="2" t="s">
        <v>535</v>
      </c>
      <c r="C152" s="2" t="s">
        <v>59</v>
      </c>
      <c r="D152" s="2" t="s">
        <v>18</v>
      </c>
      <c r="E152" s="5">
        <v>-29393</v>
      </c>
      <c r="F152" s="3" t="s">
        <v>536</v>
      </c>
      <c r="G152" s="3" t="s">
        <v>38</v>
      </c>
      <c r="H152" s="2" t="s">
        <v>65</v>
      </c>
      <c r="I152" s="2" t="s">
        <v>537</v>
      </c>
      <c r="J152" s="3" t="str">
        <f>HYPERLINK("https://www.boe.es/gazeta/dias/1819/07/10/pdfs/GMD-1819-83.pdf#page=5","Abrir facsímil")</f>
        <v>Abrir facsímil</v>
      </c>
      <c r="K152" s="3" t="s">
        <v>67</v>
      </c>
    </row>
    <row r="153" spans="1:11" ht="42" customHeight="1">
      <c r="A153" s="2" t="s">
        <v>538</v>
      </c>
      <c r="B153" s="2" t="s">
        <v>539</v>
      </c>
      <c r="C153" s="2" t="s">
        <v>80</v>
      </c>
      <c r="D153" s="2" t="s">
        <v>81</v>
      </c>
      <c r="E153" s="5">
        <v>-29255</v>
      </c>
      <c r="F153" s="3" t="s">
        <v>357</v>
      </c>
      <c r="G153" s="3" t="s">
        <v>28</v>
      </c>
      <c r="H153" s="2" t="s">
        <v>65</v>
      </c>
      <c r="I153" s="2" t="s">
        <v>540</v>
      </c>
      <c r="J153" s="3" t="str">
        <f>HYPERLINK("https://www.boe.es/gazeta/dias/1819/11/25/pdfs/GMD-1819-145.pdf#page=8","Abrir facsímil")</f>
        <v>Abrir facsímil</v>
      </c>
      <c r="K153" s="3" t="s">
        <v>67</v>
      </c>
    </row>
    <row r="154" spans="1:11" ht="42" customHeight="1">
      <c r="A154" s="2" t="s">
        <v>538</v>
      </c>
      <c r="B154" s="2" t="s">
        <v>539</v>
      </c>
      <c r="C154" s="2" t="s">
        <v>59</v>
      </c>
      <c r="D154" s="2" t="s">
        <v>18</v>
      </c>
      <c r="E154" s="5">
        <v>-29248</v>
      </c>
      <c r="F154" s="3" t="s">
        <v>395</v>
      </c>
      <c r="G154" s="3" t="s">
        <v>296</v>
      </c>
      <c r="H154" s="2" t="s">
        <v>65</v>
      </c>
      <c r="I154" s="2" t="s">
        <v>541</v>
      </c>
      <c r="J154" s="3" t="str">
        <f>HYPERLINK("https://www.boe.es/gazeta/dias/1819/12/02/pdfs/GMD-1819-148.pdf#page=4","Abrir facsímil")</f>
        <v>Abrir facsímil</v>
      </c>
      <c r="K154" s="3" t="s">
        <v>67</v>
      </c>
    </row>
    <row r="155" spans="1:11" ht="42" customHeight="1">
      <c r="A155" s="2" t="s">
        <v>542</v>
      </c>
      <c r="B155" s="2" t="s">
        <v>543</v>
      </c>
      <c r="C155" s="2" t="s">
        <v>80</v>
      </c>
      <c r="D155" s="2" t="s">
        <v>81</v>
      </c>
      <c r="E155" s="5">
        <v>-29582</v>
      </c>
      <c r="F155" s="3" t="s">
        <v>376</v>
      </c>
      <c r="G155" s="3" t="s">
        <v>544</v>
      </c>
      <c r="H155" s="2" t="s">
        <v>65</v>
      </c>
      <c r="I155" s="2" t="s">
        <v>545</v>
      </c>
      <c r="J155" s="3" t="str">
        <f>HYPERLINK("https://www.boe.es/gazeta/dias/1819/01/02/pdfs/GMD-1819-1.pdf#page=6","Abrir facsímil")</f>
        <v>Abrir facsímil</v>
      </c>
      <c r="K155" s="3" t="s">
        <v>67</v>
      </c>
    </row>
    <row r="156" spans="1:11" ht="42" customHeight="1">
      <c r="A156" s="2" t="s">
        <v>546</v>
      </c>
      <c r="B156" s="2" t="s">
        <v>547</v>
      </c>
      <c r="C156" s="2" t="s">
        <v>136</v>
      </c>
      <c r="D156" s="2" t="s">
        <v>18</v>
      </c>
      <c r="E156" s="5">
        <v>-29360</v>
      </c>
      <c r="F156" s="3" t="s">
        <v>182</v>
      </c>
      <c r="G156" s="3" t="s">
        <v>55</v>
      </c>
      <c r="H156" s="2" t="s">
        <v>65</v>
      </c>
      <c r="I156" s="2" t="s">
        <v>548</v>
      </c>
      <c r="J156" s="3" t="str">
        <f>HYPERLINK("https://www.boe.es/gazeta/dias/1819/08/12/pdfs/GMD-1819-97.pdf#page=7","Abrir facsímil")</f>
        <v>Abrir facsímil</v>
      </c>
      <c r="K156" s="3" t="s">
        <v>67</v>
      </c>
    </row>
    <row r="157" spans="1:11" ht="42" customHeight="1">
      <c r="A157" s="2" t="s">
        <v>546</v>
      </c>
      <c r="B157" s="2" t="s">
        <v>547</v>
      </c>
      <c r="C157" s="2" t="s">
        <v>63</v>
      </c>
      <c r="D157" s="2" t="s">
        <v>454</v>
      </c>
      <c r="E157" s="5">
        <v>-29339</v>
      </c>
      <c r="F157" s="3" t="s">
        <v>549</v>
      </c>
      <c r="G157" s="3" t="s">
        <v>239</v>
      </c>
      <c r="H157" s="2" t="s">
        <v>65</v>
      </c>
      <c r="I157" s="2" t="s">
        <v>550</v>
      </c>
      <c r="J157" s="3" t="str">
        <f>HYPERLINK("https://www.boe.es/gazeta/dias/1819/09/02/pdfs/GMD-1819-107E.pdf#page=1","Abrir facsímil")</f>
        <v>Abrir facsímil</v>
      </c>
      <c r="K157" s="3" t="s">
        <v>67</v>
      </c>
    </row>
    <row r="158" spans="1:11" ht="42" customHeight="1">
      <c r="A158" s="2" t="s">
        <v>546</v>
      </c>
      <c r="B158" s="2" t="s">
        <v>547</v>
      </c>
      <c r="C158" s="2" t="s">
        <v>63</v>
      </c>
      <c r="D158" s="2" t="s">
        <v>454</v>
      </c>
      <c r="E158" s="5">
        <v>-29339</v>
      </c>
      <c r="F158" s="3" t="s">
        <v>549</v>
      </c>
      <c r="G158" s="3" t="s">
        <v>259</v>
      </c>
      <c r="H158" s="2" t="s">
        <v>65</v>
      </c>
      <c r="I158" s="2" t="s">
        <v>551</v>
      </c>
      <c r="J158" s="3" t="str">
        <f>HYPERLINK("https://www.boe.es/gazeta/dias/1819/09/02/pdfs/GMD-1819-107E.pdf#page=2","Abrir facsímil")</f>
        <v>Abrir facsímil</v>
      </c>
      <c r="K158" s="3" t="s">
        <v>67</v>
      </c>
    </row>
    <row r="159" spans="1:11" ht="42" customHeight="1">
      <c r="A159" s="2" t="s">
        <v>546</v>
      </c>
      <c r="B159" s="2" t="s">
        <v>547</v>
      </c>
      <c r="C159" s="2" t="s">
        <v>59</v>
      </c>
      <c r="D159" s="2" t="s">
        <v>18</v>
      </c>
      <c r="E159" s="5">
        <v>-29304</v>
      </c>
      <c r="F159" s="3" t="s">
        <v>519</v>
      </c>
      <c r="G159" s="3" t="s">
        <v>552</v>
      </c>
      <c r="H159" s="2" t="s">
        <v>65</v>
      </c>
      <c r="I159" s="2" t="s">
        <v>553</v>
      </c>
      <c r="J159" s="3" t="str">
        <f>HYPERLINK("https://www.boe.es/gazeta/dias/1819/10/07/pdfs/GMD-1819-123.pdf#page=6","Abrir facsímil")</f>
        <v>Abrir facsímil</v>
      </c>
      <c r="K159" s="3" t="s">
        <v>67</v>
      </c>
    </row>
    <row r="160" spans="1:11" ht="42" customHeight="1">
      <c r="A160" s="2" t="s">
        <v>546</v>
      </c>
      <c r="B160" s="2" t="s">
        <v>547</v>
      </c>
      <c r="C160" s="2" t="s">
        <v>59</v>
      </c>
      <c r="D160" s="2" t="s">
        <v>18</v>
      </c>
      <c r="E160" s="5">
        <v>-29281</v>
      </c>
      <c r="F160" s="3" t="s">
        <v>19</v>
      </c>
      <c r="G160" s="3" t="s">
        <v>296</v>
      </c>
      <c r="H160" s="2" t="s">
        <v>65</v>
      </c>
      <c r="I160" s="2" t="s">
        <v>554</v>
      </c>
      <c r="J160" s="3" t="str">
        <f>HYPERLINK("https://www.boe.es/gazeta/dias/1819/10/30/pdfs/GMD-1819-134.pdf#page=4","Abrir facsímil")</f>
        <v>Abrir facsímil</v>
      </c>
      <c r="K160" s="3" t="s">
        <v>67</v>
      </c>
    </row>
    <row r="161" spans="1:11" ht="42" customHeight="1">
      <c r="A161" s="2" t="s">
        <v>555</v>
      </c>
      <c r="B161" s="2" t="s">
        <v>556</v>
      </c>
      <c r="C161" s="2" t="s">
        <v>80</v>
      </c>
      <c r="D161" s="2" t="s">
        <v>81</v>
      </c>
      <c r="E161" s="5">
        <v>-29309</v>
      </c>
      <c r="F161" s="3" t="s">
        <v>476</v>
      </c>
      <c r="G161" s="3" t="s">
        <v>38</v>
      </c>
      <c r="H161" s="2" t="s">
        <v>65</v>
      </c>
      <c r="I161" s="2" t="s">
        <v>557</v>
      </c>
      <c r="J161" s="3" t="str">
        <f>HYPERLINK("https://www.boe.es/gazeta/dias/1819/10/02/pdfs/GMD-1819-121.pdf#page=5","Abrir facsímil")</f>
        <v>Abrir facsímil</v>
      </c>
      <c r="K161" s="3" t="s">
        <v>67</v>
      </c>
    </row>
    <row r="162" spans="1:11" ht="42" customHeight="1">
      <c r="A162" s="2" t="s">
        <v>558</v>
      </c>
      <c r="B162" s="2" t="s">
        <v>559</v>
      </c>
      <c r="C162" s="2" t="s">
        <v>59</v>
      </c>
      <c r="D162" s="2" t="s">
        <v>18</v>
      </c>
      <c r="E162" s="5">
        <v>-29493</v>
      </c>
      <c r="F162" s="3" t="s">
        <v>404</v>
      </c>
      <c r="G162" s="3" t="s">
        <v>55</v>
      </c>
      <c r="H162" s="2" t="s">
        <v>65</v>
      </c>
      <c r="I162" s="2" t="s">
        <v>560</v>
      </c>
      <c r="J162" s="3" t="str">
        <f>HYPERLINK("https://www.boe.es/gazeta/dias/1819/04/01/pdfs/GMD-1819-39.pdf#page=7","Abrir facsímil")</f>
        <v>Abrir facsímil</v>
      </c>
      <c r="K162" s="3" t="s">
        <v>67</v>
      </c>
    </row>
    <row r="163" spans="1:11" ht="42" customHeight="1">
      <c r="A163" s="2" t="s">
        <v>561</v>
      </c>
      <c r="B163" s="2" t="s">
        <v>562</v>
      </c>
      <c r="C163" s="2" t="s">
        <v>215</v>
      </c>
      <c r="D163" s="2" t="s">
        <v>18</v>
      </c>
      <c r="E163" s="5">
        <v>-29316</v>
      </c>
      <c r="F163" s="3" t="s">
        <v>166</v>
      </c>
      <c r="G163" s="3" t="s">
        <v>94</v>
      </c>
      <c r="H163" s="2" t="s">
        <v>65</v>
      </c>
      <c r="I163" s="2" t="s">
        <v>563</v>
      </c>
      <c r="J163" s="3" t="str">
        <f>HYPERLINK("https://www.boe.es/gazeta/dias/1819/09/25/pdfs/GMD-1819-118.pdf#page=11","Abrir facsímil")</f>
        <v>Abrir facsímil</v>
      </c>
      <c r="K163" s="3" t="s">
        <v>67</v>
      </c>
    </row>
    <row r="164" spans="1:11" ht="42" customHeight="1">
      <c r="A164" s="2" t="s">
        <v>564</v>
      </c>
      <c r="B164" s="2" t="s">
        <v>564</v>
      </c>
      <c r="C164" s="2" t="s">
        <v>80</v>
      </c>
      <c r="D164" s="2" t="s">
        <v>81</v>
      </c>
      <c r="E164" s="5">
        <v>-29269</v>
      </c>
      <c r="F164" s="3" t="s">
        <v>565</v>
      </c>
      <c r="G164" s="3" t="s">
        <v>38</v>
      </c>
      <c r="H164" s="2" t="s">
        <v>65</v>
      </c>
      <c r="I164" s="2" t="s">
        <v>566</v>
      </c>
      <c r="J164" s="3" t="str">
        <f>HYPERLINK("https://www.boe.es/gazeta/dias/1819/11/11/pdfs/GMD-1819-139.pdf#page=5","Abrir facsímil")</f>
        <v>Abrir facsímil</v>
      </c>
      <c r="K164" s="3" t="s">
        <v>67</v>
      </c>
    </row>
    <row r="165" spans="1:11" ht="42" customHeight="1">
      <c r="A165" s="2" t="s">
        <v>567</v>
      </c>
      <c r="B165" s="2" t="s">
        <v>567</v>
      </c>
      <c r="C165" s="2" t="s">
        <v>59</v>
      </c>
      <c r="D165" s="2" t="s">
        <v>18</v>
      </c>
      <c r="E165" s="5">
        <v>-29386</v>
      </c>
      <c r="F165" s="3" t="s">
        <v>568</v>
      </c>
      <c r="G165" s="3" t="s">
        <v>28</v>
      </c>
      <c r="H165" s="2" t="s">
        <v>65</v>
      </c>
      <c r="I165" s="2" t="s">
        <v>569</v>
      </c>
      <c r="J165" s="3" t="str">
        <f>HYPERLINK("https://www.boe.es/gazeta/dias/1819/07/17/pdfs/GMD-1819-86.pdf#page=8","Abrir facsímil")</f>
        <v>Abrir facsímil</v>
      </c>
      <c r="K165" s="3" t="s">
        <v>67</v>
      </c>
    </row>
    <row r="166" spans="1:11" ht="42" customHeight="1">
      <c r="A166" s="2" t="s">
        <v>570</v>
      </c>
      <c r="B166" s="2" t="s">
        <v>570</v>
      </c>
      <c r="C166" s="2" t="s">
        <v>26</v>
      </c>
      <c r="D166" s="2" t="s">
        <v>18</v>
      </c>
      <c r="E166" s="5">
        <v>-29367</v>
      </c>
      <c r="F166" s="3" t="s">
        <v>571</v>
      </c>
      <c r="G166" s="3" t="s">
        <v>296</v>
      </c>
      <c r="H166" s="2" t="s">
        <v>65</v>
      </c>
      <c r="I166" s="2" t="s">
        <v>572</v>
      </c>
      <c r="J166" s="3" t="str">
        <f>HYPERLINK("https://www.boe.es/gazeta/dias/1819/08/05/pdfs/GMD-1819-94.pdf#page=4","Abrir facsímil")</f>
        <v>Abrir facsímil</v>
      </c>
      <c r="K166" s="3" t="s">
        <v>67</v>
      </c>
    </row>
    <row r="167" spans="1:11" ht="42" customHeight="1">
      <c r="A167" s="2" t="s">
        <v>573</v>
      </c>
      <c r="B167" s="2" t="s">
        <v>574</v>
      </c>
      <c r="C167" s="2" t="s">
        <v>80</v>
      </c>
      <c r="D167" s="2" t="s">
        <v>81</v>
      </c>
      <c r="E167" s="5">
        <v>-29407</v>
      </c>
      <c r="F167" s="3" t="s">
        <v>64</v>
      </c>
      <c r="G167" s="3" t="s">
        <v>33</v>
      </c>
      <c r="H167" s="2" t="s">
        <v>65</v>
      </c>
      <c r="I167" s="2" t="s">
        <v>575</v>
      </c>
      <c r="J167" s="3" t="str">
        <f>HYPERLINK("https://www.boe.es/gazeta/dias/1819/06/26/pdfs/GMD-1819-77.pdf#page=6","Abrir facsímil")</f>
        <v>Abrir facsímil</v>
      </c>
      <c r="K167" s="3" t="s">
        <v>67</v>
      </c>
    </row>
    <row r="168" spans="1:11" ht="42" customHeight="1">
      <c r="A168" s="2" t="s">
        <v>576</v>
      </c>
      <c r="B168" s="2" t="s">
        <v>577</v>
      </c>
      <c r="C168" s="2" t="s">
        <v>59</v>
      </c>
      <c r="D168" s="2" t="s">
        <v>18</v>
      </c>
      <c r="E168" s="5">
        <v>-29285</v>
      </c>
      <c r="F168" s="3" t="s">
        <v>578</v>
      </c>
      <c r="G168" s="3" t="s">
        <v>28</v>
      </c>
      <c r="H168" s="2" t="s">
        <v>65</v>
      </c>
      <c r="I168" s="2" t="s">
        <v>579</v>
      </c>
      <c r="J168" s="3" t="str">
        <f>HYPERLINK("https://www.boe.es/gazeta/dias/1819/10/26/pdfs/GMD-1819-132.pdf#page=8","Abrir facsímil")</f>
        <v>Abrir facsímil</v>
      </c>
      <c r="K168" s="3" t="s">
        <v>67</v>
      </c>
    </row>
    <row r="169" spans="1:11" ht="42" customHeight="1">
      <c r="A169" s="2" t="s">
        <v>580</v>
      </c>
      <c r="B169" s="2" t="s">
        <v>580</v>
      </c>
      <c r="C169" s="2" t="s">
        <v>26</v>
      </c>
      <c r="D169" s="2" t="s">
        <v>18</v>
      </c>
      <c r="E169" s="5">
        <v>-29369</v>
      </c>
      <c r="F169" s="3" t="s">
        <v>231</v>
      </c>
      <c r="G169" s="3" t="s">
        <v>232</v>
      </c>
      <c r="H169" s="2" t="s">
        <v>65</v>
      </c>
      <c r="I169" s="2" t="s">
        <v>581</v>
      </c>
      <c r="J169" s="3" t="str">
        <f>HYPERLINK("https://www.boe.es/gazeta/dias/1819/08/03/pdfs/GMD-1819-93.pdf#page=5","Abrir facsímil")</f>
        <v>Abrir facsímil</v>
      </c>
      <c r="K169" s="3" t="s">
        <v>67</v>
      </c>
    </row>
    <row r="170" spans="1:11" ht="42" customHeight="1">
      <c r="A170" s="2" t="s">
        <v>582</v>
      </c>
      <c r="B170" s="2" t="s">
        <v>583</v>
      </c>
      <c r="C170" s="2" t="s">
        <v>80</v>
      </c>
      <c r="D170" s="2" t="s">
        <v>81</v>
      </c>
      <c r="E170" s="5">
        <v>-29582</v>
      </c>
      <c r="F170" s="3" t="s">
        <v>376</v>
      </c>
      <c r="G170" s="3" t="s">
        <v>38</v>
      </c>
      <c r="H170" s="2" t="s">
        <v>65</v>
      </c>
      <c r="I170" s="2" t="s">
        <v>584</v>
      </c>
      <c r="J170" s="3" t="str">
        <f>HYPERLINK("https://www.boe.es/gazeta/dias/1819/01/02/pdfs/GMD-1819-1.pdf#page=5","Abrir facsímil")</f>
        <v>Abrir facsímil</v>
      </c>
      <c r="K170" s="3" t="s">
        <v>67</v>
      </c>
    </row>
    <row r="171" spans="1:11" ht="42" customHeight="1">
      <c r="A171" s="2" t="s">
        <v>585</v>
      </c>
      <c r="B171" s="2" t="s">
        <v>586</v>
      </c>
      <c r="C171" s="2" t="s">
        <v>80</v>
      </c>
      <c r="D171" s="2" t="s">
        <v>81</v>
      </c>
      <c r="E171" s="5">
        <v>-29246</v>
      </c>
      <c r="F171" s="3" t="s">
        <v>494</v>
      </c>
      <c r="G171" s="3" t="s">
        <v>495</v>
      </c>
      <c r="H171" s="2" t="s">
        <v>65</v>
      </c>
      <c r="I171" s="2" t="s">
        <v>587</v>
      </c>
      <c r="J171" s="3" t="str">
        <f>HYPERLINK("https://www.boe.es/gazeta/dias/1819/12/04/pdfs/GMD-1819-149.pdf#page=6","Abrir facsímil")</f>
        <v>Abrir facsímil</v>
      </c>
      <c r="K171" s="3" t="s">
        <v>67</v>
      </c>
    </row>
    <row r="172" spans="1:11" ht="42" customHeight="1">
      <c r="A172" s="2" t="s">
        <v>588</v>
      </c>
      <c r="B172" s="2" t="s">
        <v>588</v>
      </c>
      <c r="C172" s="2" t="s">
        <v>80</v>
      </c>
      <c r="D172" s="2" t="s">
        <v>81</v>
      </c>
      <c r="E172" s="5">
        <v>-29572</v>
      </c>
      <c r="F172" s="3" t="s">
        <v>589</v>
      </c>
      <c r="G172" s="3" t="s">
        <v>590</v>
      </c>
      <c r="H172" s="2" t="s">
        <v>65</v>
      </c>
      <c r="I172" s="2" t="s">
        <v>591</v>
      </c>
      <c r="J172" s="3" t="str">
        <f>HYPERLINK("https://www.boe.es/gazeta/dias/1819/01/12/pdfs/GMD-1819-5.pdf#page=8","Abrir facsímil")</f>
        <v>Abrir facsímil</v>
      </c>
      <c r="K172" s="3" t="s">
        <v>67</v>
      </c>
    </row>
    <row r="173" spans="1:11" ht="42" customHeight="1">
      <c r="A173" s="2" t="s">
        <v>588</v>
      </c>
      <c r="B173" s="2" t="s">
        <v>588</v>
      </c>
      <c r="C173" s="2" t="s">
        <v>80</v>
      </c>
      <c r="D173" s="2" t="s">
        <v>81</v>
      </c>
      <c r="E173" s="5">
        <v>-29556</v>
      </c>
      <c r="F173" s="3" t="s">
        <v>255</v>
      </c>
      <c r="G173" s="3" t="s">
        <v>55</v>
      </c>
      <c r="H173" s="2" t="s">
        <v>65</v>
      </c>
      <c r="I173" s="2" t="s">
        <v>592</v>
      </c>
      <c r="J173" s="3" t="str">
        <f>HYPERLINK("https://www.boe.es/gazeta/dias/1819/01/28/pdfs/GMD-1819-12.pdf#page=7","Abrir facsímil")</f>
        <v>Abrir facsímil</v>
      </c>
      <c r="K173" s="3" t="s">
        <v>67</v>
      </c>
    </row>
    <row r="174" spans="1:11" ht="42" customHeight="1">
      <c r="A174" s="2" t="s">
        <v>588</v>
      </c>
      <c r="B174" s="2" t="s">
        <v>588</v>
      </c>
      <c r="C174" s="2" t="s">
        <v>59</v>
      </c>
      <c r="D174" s="2" t="s">
        <v>18</v>
      </c>
      <c r="E174" s="5">
        <v>-29537</v>
      </c>
      <c r="F174" s="3" t="s">
        <v>593</v>
      </c>
      <c r="G174" s="3" t="s">
        <v>28</v>
      </c>
      <c r="H174" s="2" t="s">
        <v>65</v>
      </c>
      <c r="I174" s="2" t="s">
        <v>594</v>
      </c>
      <c r="J174" s="3" t="str">
        <f>HYPERLINK("https://www.boe.es/gazeta/dias/1819/02/16/pdfs/GMD-1819-20.pdf#page=8","Abrir facsímil")</f>
        <v>Abrir facsímil</v>
      </c>
      <c r="K174" s="3" t="s">
        <v>67</v>
      </c>
    </row>
    <row r="175" spans="1:11" ht="42" customHeight="1">
      <c r="A175" s="2" t="s">
        <v>588</v>
      </c>
      <c r="B175" s="2" t="s">
        <v>588</v>
      </c>
      <c r="C175" s="2" t="s">
        <v>63</v>
      </c>
      <c r="D175" s="2" t="s">
        <v>43</v>
      </c>
      <c r="E175" s="5">
        <v>-29514</v>
      </c>
      <c r="F175" s="3" t="s">
        <v>595</v>
      </c>
      <c r="G175" s="3" t="s">
        <v>33</v>
      </c>
      <c r="H175" s="2" t="s">
        <v>65</v>
      </c>
      <c r="I175" s="2" t="s">
        <v>596</v>
      </c>
      <c r="J175" s="3" t="str">
        <f>HYPERLINK("https://www.boe.es/gazeta/dias/1819/03/11/pdfs/GMD-1819-30.pdf#page=6","Abrir facsímil")</f>
        <v>Abrir facsímil</v>
      </c>
      <c r="K175" s="3" t="s">
        <v>67</v>
      </c>
    </row>
    <row r="176" spans="1:11" ht="42" customHeight="1">
      <c r="A176" s="2" t="s">
        <v>588</v>
      </c>
      <c r="B176" s="2" t="s">
        <v>588</v>
      </c>
      <c r="C176" s="2" t="s">
        <v>80</v>
      </c>
      <c r="D176" s="2" t="s">
        <v>81</v>
      </c>
      <c r="E176" s="5">
        <v>-29505</v>
      </c>
      <c r="F176" s="3" t="s">
        <v>597</v>
      </c>
      <c r="G176" s="3" t="s">
        <v>28</v>
      </c>
      <c r="H176" s="2" t="s">
        <v>65</v>
      </c>
      <c r="I176" s="2" t="s">
        <v>598</v>
      </c>
      <c r="J176" s="3" t="str">
        <f>HYPERLINK("https://www.boe.es/gazeta/dias/1819/03/20/pdfs/GMD-1819-34.pdf#page=8","Abrir facsímil")</f>
        <v>Abrir facsímil</v>
      </c>
      <c r="K176" s="3" t="s">
        <v>67</v>
      </c>
    </row>
    <row r="177" spans="1:11" ht="42" customHeight="1">
      <c r="A177" s="2" t="s">
        <v>588</v>
      </c>
      <c r="B177" s="2" t="s">
        <v>588</v>
      </c>
      <c r="C177" s="2" t="s">
        <v>59</v>
      </c>
      <c r="D177" s="2" t="s">
        <v>18</v>
      </c>
      <c r="E177" s="5">
        <v>-29397</v>
      </c>
      <c r="F177" s="3" t="s">
        <v>599</v>
      </c>
      <c r="G177" s="3" t="s">
        <v>28</v>
      </c>
      <c r="H177" s="2" t="s">
        <v>65</v>
      </c>
      <c r="I177" s="2" t="s">
        <v>600</v>
      </c>
      <c r="J177" s="3" t="str">
        <f>HYPERLINK("https://www.boe.es/gazeta/dias/1819/07/06/pdfs/GMD-1819-81.pdf#page=8","Abrir facsímil")</f>
        <v>Abrir facsímil</v>
      </c>
      <c r="K177" s="3" t="s">
        <v>67</v>
      </c>
    </row>
    <row r="178" spans="1:11" ht="42" customHeight="1">
      <c r="A178" s="2" t="s">
        <v>588</v>
      </c>
      <c r="B178" s="2" t="s">
        <v>588</v>
      </c>
      <c r="C178" s="2" t="s">
        <v>63</v>
      </c>
      <c r="D178" s="2" t="s">
        <v>43</v>
      </c>
      <c r="E178" s="5">
        <v>-29304</v>
      </c>
      <c r="F178" s="3" t="s">
        <v>519</v>
      </c>
      <c r="G178" s="3" t="s">
        <v>28</v>
      </c>
      <c r="H178" s="2" t="s">
        <v>65</v>
      </c>
      <c r="I178" s="2" t="s">
        <v>601</v>
      </c>
      <c r="J178" s="3" t="str">
        <f>HYPERLINK("https://www.boe.es/gazeta/dias/1819/10/07/pdfs/GMD-1819-123.pdf#page=8","Abrir facsímil")</f>
        <v>Abrir facsímil</v>
      </c>
      <c r="K178" s="3" t="s">
        <v>67</v>
      </c>
    </row>
    <row r="179" spans="1:11" ht="42" customHeight="1">
      <c r="A179" s="2" t="s">
        <v>602</v>
      </c>
      <c r="B179" s="2" t="s">
        <v>603</v>
      </c>
      <c r="C179" s="2" t="s">
        <v>80</v>
      </c>
      <c r="D179" s="2" t="s">
        <v>81</v>
      </c>
      <c r="E179" s="5">
        <v>-29535</v>
      </c>
      <c r="F179" s="3" t="s">
        <v>200</v>
      </c>
      <c r="G179" s="3" t="s">
        <v>38</v>
      </c>
      <c r="H179" s="2" t="s">
        <v>65</v>
      </c>
      <c r="I179" s="2" t="s">
        <v>604</v>
      </c>
      <c r="J179" s="3" t="str">
        <f>HYPERLINK("https://www.boe.es/gazeta/dias/1819/02/18/pdfs/GMD-1819-21.pdf#page=5","Abrir facsímil")</f>
        <v>Abrir facsímil</v>
      </c>
      <c r="K179" s="3" t="s">
        <v>67</v>
      </c>
    </row>
    <row r="180" spans="1:11" ht="42" customHeight="1">
      <c r="A180" s="2" t="s">
        <v>605</v>
      </c>
      <c r="B180" s="2" t="s">
        <v>606</v>
      </c>
      <c r="C180" s="2" t="s">
        <v>80</v>
      </c>
      <c r="D180" s="2" t="s">
        <v>81</v>
      </c>
      <c r="E180" s="5">
        <v>-29542</v>
      </c>
      <c r="F180" s="3" t="s">
        <v>607</v>
      </c>
      <c r="G180" s="3" t="s">
        <v>608</v>
      </c>
      <c r="H180" s="2" t="s">
        <v>65</v>
      </c>
      <c r="I180" s="2" t="s">
        <v>609</v>
      </c>
      <c r="J180" s="3" t="str">
        <f>HYPERLINK("https://www.boe.es/gazeta/dias/1819/02/11/pdfs/GMD-1819-18.pdf#page=6","Abrir facsímil")</f>
        <v>Abrir facsímil</v>
      </c>
      <c r="K180" s="3" t="s">
        <v>67</v>
      </c>
    </row>
    <row r="181" spans="1:11" ht="42" customHeight="1">
      <c r="A181" s="2" t="s">
        <v>610</v>
      </c>
      <c r="B181" s="2" t="s">
        <v>610</v>
      </c>
      <c r="C181" s="2" t="s">
        <v>80</v>
      </c>
      <c r="D181" s="2" t="s">
        <v>81</v>
      </c>
      <c r="E181" s="5">
        <v>-29269</v>
      </c>
      <c r="F181" s="3" t="s">
        <v>565</v>
      </c>
      <c r="G181" s="3" t="s">
        <v>38</v>
      </c>
      <c r="H181" s="2" t="s">
        <v>65</v>
      </c>
      <c r="I181" s="2" t="s">
        <v>611</v>
      </c>
      <c r="J181" s="3" t="str">
        <f>HYPERLINK("https://www.boe.es/gazeta/dias/1819/11/11/pdfs/GMD-1819-139.pdf#page=5","Abrir facsímil")</f>
        <v>Abrir facsímil</v>
      </c>
      <c r="K181" s="3" t="s">
        <v>67</v>
      </c>
    </row>
    <row r="182" spans="1:11" ht="42" customHeight="1">
      <c r="A182" s="2" t="s">
        <v>612</v>
      </c>
      <c r="B182" s="2" t="s">
        <v>613</v>
      </c>
      <c r="C182" s="2" t="s">
        <v>80</v>
      </c>
      <c r="D182" s="2" t="s">
        <v>81</v>
      </c>
      <c r="E182" s="5">
        <v>-29369</v>
      </c>
      <c r="F182" s="3" t="s">
        <v>231</v>
      </c>
      <c r="G182" s="3" t="s">
        <v>232</v>
      </c>
      <c r="H182" s="2" t="s">
        <v>65</v>
      </c>
      <c r="I182" s="2" t="s">
        <v>614</v>
      </c>
      <c r="J182" s="3" t="str">
        <f>HYPERLINK("https://www.boe.es/gazeta/dias/1819/08/03/pdfs/GMD-1819-93.pdf#page=5","Abrir facsímil")</f>
        <v>Abrir facsímil</v>
      </c>
      <c r="K182" s="3" t="s">
        <v>67</v>
      </c>
    </row>
    <row r="183" spans="1:11" ht="42" customHeight="1">
      <c r="A183" s="2" t="s">
        <v>615</v>
      </c>
      <c r="B183" s="2" t="s">
        <v>616</v>
      </c>
      <c r="C183" s="2" t="s">
        <v>80</v>
      </c>
      <c r="D183" s="2" t="s">
        <v>81</v>
      </c>
      <c r="E183" s="5">
        <v>-29411</v>
      </c>
      <c r="F183" s="3" t="s">
        <v>317</v>
      </c>
      <c r="G183" s="3" t="s">
        <v>55</v>
      </c>
      <c r="H183" s="2" t="s">
        <v>65</v>
      </c>
      <c r="I183" s="2" t="s">
        <v>617</v>
      </c>
      <c r="J183" s="3" t="str">
        <f>HYPERLINK("https://www.boe.es/gazeta/dias/1819/06/22/pdfs/GMD-1819-75.pdf#page=7","Abrir facsímil")</f>
        <v>Abrir facsímil</v>
      </c>
      <c r="K183" s="3" t="s">
        <v>67</v>
      </c>
    </row>
    <row r="184" spans="1:11" ht="42" customHeight="1">
      <c r="A184" s="2" t="s">
        <v>618</v>
      </c>
      <c r="B184" s="2" t="s">
        <v>619</v>
      </c>
      <c r="C184" s="2" t="s">
        <v>63</v>
      </c>
      <c r="D184" s="2" t="s">
        <v>43</v>
      </c>
      <c r="E184" s="5">
        <v>-29327</v>
      </c>
      <c r="F184" s="3" t="s">
        <v>620</v>
      </c>
      <c r="G184" s="3" t="s">
        <v>55</v>
      </c>
      <c r="H184" s="2" t="s">
        <v>65</v>
      </c>
      <c r="I184" s="2" t="s">
        <v>621</v>
      </c>
      <c r="J184" s="3" t="str">
        <f>HYPERLINK("https://www.boe.es/gazeta/dias/1819/09/14/pdfs/GMD-1819-112.pdf#page=7","Abrir facsímil")</f>
        <v>Abrir facsímil</v>
      </c>
      <c r="K184" s="3" t="s">
        <v>67</v>
      </c>
    </row>
    <row r="185" spans="1:11" ht="42" customHeight="1">
      <c r="A185" s="2" t="s">
        <v>618</v>
      </c>
      <c r="B185" s="2" t="s">
        <v>619</v>
      </c>
      <c r="C185" s="2" t="s">
        <v>63</v>
      </c>
      <c r="D185" s="2" t="s">
        <v>43</v>
      </c>
      <c r="E185" s="5">
        <v>-29290</v>
      </c>
      <c r="F185" s="3" t="s">
        <v>622</v>
      </c>
      <c r="G185" s="3" t="s">
        <v>28</v>
      </c>
      <c r="H185" s="2" t="s">
        <v>65</v>
      </c>
      <c r="I185" s="2" t="s">
        <v>623</v>
      </c>
      <c r="J185" s="3" t="str">
        <f>HYPERLINK("https://www.boe.es/gazeta/dias/1819/10/21/pdfs/GMD-1819-129.pdf#page=8","Abrir facsímil")</f>
        <v>Abrir facsímil</v>
      </c>
      <c r="K185" s="3" t="s">
        <v>67</v>
      </c>
    </row>
    <row r="186" spans="1:11" ht="42" customHeight="1">
      <c r="A186" s="2" t="s">
        <v>618</v>
      </c>
      <c r="B186" s="2" t="s">
        <v>619</v>
      </c>
      <c r="C186" s="2" t="s">
        <v>63</v>
      </c>
      <c r="D186" s="2" t="s">
        <v>43</v>
      </c>
      <c r="E186" s="5">
        <v>-29250</v>
      </c>
      <c r="F186" s="3" t="s">
        <v>312</v>
      </c>
      <c r="G186" s="3" t="s">
        <v>313</v>
      </c>
      <c r="H186" s="2" t="s">
        <v>65</v>
      </c>
      <c r="I186" s="2" t="s">
        <v>624</v>
      </c>
      <c r="J186" s="3" t="str">
        <f>HYPERLINK("https://www.boe.es/gazeta/dias/1819/11/30/pdfs/GMD-1819-147.pdf#page=8","Abrir facsímil")</f>
        <v>Abrir facsímil</v>
      </c>
      <c r="K186" s="3" t="s">
        <v>67</v>
      </c>
    </row>
    <row r="187" spans="1:11" ht="42" customHeight="1">
      <c r="A187" s="2" t="s">
        <v>625</v>
      </c>
      <c r="B187" s="2" t="s">
        <v>626</v>
      </c>
      <c r="C187" s="2" t="s">
        <v>63</v>
      </c>
      <c r="D187" s="2" t="s">
        <v>43</v>
      </c>
      <c r="E187" s="5">
        <v>-29248</v>
      </c>
      <c r="F187" s="3" t="s">
        <v>395</v>
      </c>
      <c r="G187" s="3" t="s">
        <v>138</v>
      </c>
      <c r="H187" s="2" t="s">
        <v>65</v>
      </c>
      <c r="I187" s="2" t="s">
        <v>627</v>
      </c>
      <c r="J187" s="3" t="str">
        <f>HYPERLINK("https://www.boe.es/gazeta/dias/1819/12/02/pdfs/GMD-1819-148.pdf#page=12","Abrir facsímil")</f>
        <v>Abrir facsímil</v>
      </c>
      <c r="K187" s="3" t="s">
        <v>67</v>
      </c>
    </row>
    <row r="188" spans="1:11" ht="42" customHeight="1">
      <c r="A188" s="2" t="s">
        <v>628</v>
      </c>
      <c r="B188" s="2" t="s">
        <v>628</v>
      </c>
      <c r="C188" s="2" t="s">
        <v>80</v>
      </c>
      <c r="D188" s="2" t="s">
        <v>81</v>
      </c>
      <c r="E188" s="5">
        <v>-29535</v>
      </c>
      <c r="F188" s="3" t="s">
        <v>200</v>
      </c>
      <c r="G188" s="3" t="s">
        <v>102</v>
      </c>
      <c r="H188" s="2" t="s">
        <v>65</v>
      </c>
      <c r="I188" s="2" t="s">
        <v>629</v>
      </c>
      <c r="J188" s="3" t="str">
        <f>HYPERLINK("https://www.boe.es/gazeta/dias/1819/02/18/pdfs/GMD-1819-21.pdf#page=3","Abrir facsímil")</f>
        <v>Abrir facsímil</v>
      </c>
      <c r="K188" s="3" t="s">
        <v>67</v>
      </c>
    </row>
    <row r="189" spans="1:11" ht="42" customHeight="1">
      <c r="A189" s="2" t="s">
        <v>630</v>
      </c>
      <c r="B189" s="2" t="s">
        <v>630</v>
      </c>
      <c r="C189" s="2" t="s">
        <v>63</v>
      </c>
      <c r="D189" s="2" t="s">
        <v>43</v>
      </c>
      <c r="E189" s="5">
        <v>-29383</v>
      </c>
      <c r="F189" s="3" t="s">
        <v>631</v>
      </c>
      <c r="G189" s="3" t="s">
        <v>28</v>
      </c>
      <c r="H189" s="2" t="s">
        <v>65</v>
      </c>
      <c r="I189" s="2" t="s">
        <v>632</v>
      </c>
      <c r="J189" s="3" t="str">
        <f>HYPERLINK("https://www.boe.es/gazeta/dias/1819/07/20/pdfs/GMD-1819-87.pdf#page=8","Abrir facsímil")</f>
        <v>Abrir facsímil</v>
      </c>
      <c r="K189" s="3" t="s">
        <v>67</v>
      </c>
    </row>
    <row r="190" spans="1:11" ht="42" customHeight="1">
      <c r="A190" s="2" t="s">
        <v>630</v>
      </c>
      <c r="B190" s="2" t="s">
        <v>630</v>
      </c>
      <c r="C190" s="2" t="s">
        <v>26</v>
      </c>
      <c r="D190" s="2" t="s">
        <v>18</v>
      </c>
      <c r="E190" s="5">
        <v>-29355</v>
      </c>
      <c r="F190" s="3" t="s">
        <v>347</v>
      </c>
      <c r="G190" s="3" t="s">
        <v>348</v>
      </c>
      <c r="H190" s="2" t="s">
        <v>65</v>
      </c>
      <c r="I190" s="2" t="s">
        <v>633</v>
      </c>
      <c r="J190" s="3" t="str">
        <f>HYPERLINK("https://www.boe.es/gazeta/dias/1819/08/17/pdfs/GMD-1819-99.pdf#page=6","Abrir facsímil")</f>
        <v>Abrir facsímil</v>
      </c>
      <c r="K190" s="3" t="s">
        <v>67</v>
      </c>
    </row>
    <row r="191" spans="1:11" ht="42" customHeight="1">
      <c r="A191" s="2" t="s">
        <v>634</v>
      </c>
      <c r="B191" s="2" t="s">
        <v>635</v>
      </c>
      <c r="C191" s="2" t="s">
        <v>63</v>
      </c>
      <c r="D191" s="2" t="s">
        <v>43</v>
      </c>
      <c r="E191" s="5">
        <v>-29355</v>
      </c>
      <c r="F191" s="3" t="s">
        <v>347</v>
      </c>
      <c r="G191" s="3" t="s">
        <v>636</v>
      </c>
      <c r="H191" s="2" t="s">
        <v>65</v>
      </c>
      <c r="I191" s="2" t="s">
        <v>637</v>
      </c>
      <c r="J191" s="3" t="str">
        <f>HYPERLINK("https://www.boe.es/gazeta/dias/1819/08/17/pdfs/GMD-1819-99.pdf#page=7","Abrir facsímil")</f>
        <v>Abrir facsímil</v>
      </c>
      <c r="K191" s="3" t="s">
        <v>67</v>
      </c>
    </row>
    <row r="192" spans="1:11" ht="42" customHeight="1">
      <c r="A192" s="2" t="s">
        <v>638</v>
      </c>
      <c r="B192" s="2" t="s">
        <v>639</v>
      </c>
      <c r="C192" s="2" t="s">
        <v>80</v>
      </c>
      <c r="D192" s="2" t="s">
        <v>81</v>
      </c>
      <c r="E192" s="5">
        <v>-29535</v>
      </c>
      <c r="F192" s="3" t="s">
        <v>200</v>
      </c>
      <c r="G192" s="3" t="s">
        <v>296</v>
      </c>
      <c r="H192" s="2" t="s">
        <v>65</v>
      </c>
      <c r="I192" s="2" t="s">
        <v>640</v>
      </c>
      <c r="J192" s="3" t="str">
        <f>HYPERLINK("https://www.boe.es/gazeta/dias/1819/02/18/pdfs/GMD-1819-21.pdf#page=4","Abrir facsímil")</f>
        <v>Abrir facsímil</v>
      </c>
      <c r="K192" s="3" t="s">
        <v>67</v>
      </c>
    </row>
    <row r="193" spans="1:11" ht="42" customHeight="1">
      <c r="A193" s="2" t="s">
        <v>641</v>
      </c>
      <c r="B193" s="2" t="s">
        <v>641</v>
      </c>
      <c r="C193" s="2" t="s">
        <v>26</v>
      </c>
      <c r="D193" s="2" t="s">
        <v>18</v>
      </c>
      <c r="E193" s="5">
        <v>-29411</v>
      </c>
      <c r="F193" s="3" t="s">
        <v>317</v>
      </c>
      <c r="G193" s="3" t="s">
        <v>38</v>
      </c>
      <c r="H193" s="2" t="s">
        <v>65</v>
      </c>
      <c r="I193" s="2" t="s">
        <v>642</v>
      </c>
      <c r="J193" s="3" t="str">
        <f>HYPERLINK("https://www.boe.es/gazeta/dias/1819/06/22/pdfs/GMD-1819-75.pdf#page=5","Abrir facsímil")</f>
        <v>Abrir facsímil</v>
      </c>
      <c r="K193" s="3" t="s">
        <v>67</v>
      </c>
    </row>
    <row r="194" spans="1:11" ht="42" customHeight="1">
      <c r="A194" s="2" t="s">
        <v>643</v>
      </c>
      <c r="B194" s="2" t="s">
        <v>643</v>
      </c>
      <c r="C194" s="2" t="s">
        <v>63</v>
      </c>
      <c r="D194" s="2" t="s">
        <v>43</v>
      </c>
      <c r="E194" s="5">
        <v>-29327</v>
      </c>
      <c r="F194" s="3" t="s">
        <v>620</v>
      </c>
      <c r="G194" s="3" t="s">
        <v>28</v>
      </c>
      <c r="H194" s="2" t="s">
        <v>65</v>
      </c>
      <c r="I194" s="2" t="s">
        <v>644</v>
      </c>
      <c r="J194" s="3" t="str">
        <f>HYPERLINK("https://www.boe.es/gazeta/dias/1819/09/14/pdfs/GMD-1819-112.pdf#page=8","Abrir facsímil")</f>
        <v>Abrir facsímil</v>
      </c>
      <c r="K194" s="3" t="s">
        <v>67</v>
      </c>
    </row>
    <row r="195" spans="1:11" ht="42" customHeight="1">
      <c r="A195" s="2" t="s">
        <v>645</v>
      </c>
      <c r="B195" s="2" t="s">
        <v>646</v>
      </c>
      <c r="C195" s="2" t="s">
        <v>63</v>
      </c>
      <c r="D195" s="2" t="s">
        <v>43</v>
      </c>
      <c r="E195" s="5">
        <v>-29281</v>
      </c>
      <c r="F195" s="3" t="s">
        <v>19</v>
      </c>
      <c r="G195" s="3" t="s">
        <v>55</v>
      </c>
      <c r="H195" s="2" t="s">
        <v>21</v>
      </c>
      <c r="I195" s="2" t="s">
        <v>647</v>
      </c>
      <c r="J195" s="3" t="str">
        <f>HYPERLINK("https://www.boe.es/gazeta/dias/1819/10/30/pdfs/GMD-1819-134.pdf#page=7","Abrir facsímil")</f>
        <v>Abrir facsímil</v>
      </c>
      <c r="K195" s="3" t="s">
        <v>23</v>
      </c>
    </row>
    <row r="196" spans="1:11" ht="42" customHeight="1">
      <c r="A196" s="2" t="s">
        <v>648</v>
      </c>
      <c r="B196" s="2" t="s">
        <v>648</v>
      </c>
      <c r="C196" s="2" t="s">
        <v>80</v>
      </c>
      <c r="D196" s="2" t="s">
        <v>81</v>
      </c>
      <c r="E196" s="5">
        <v>-29407</v>
      </c>
      <c r="F196" s="3" t="s">
        <v>64</v>
      </c>
      <c r="G196" s="3" t="s">
        <v>55</v>
      </c>
      <c r="H196" s="2" t="s">
        <v>65</v>
      </c>
      <c r="I196" s="2" t="s">
        <v>649</v>
      </c>
      <c r="J196" s="3" t="str">
        <f>HYPERLINK("https://www.boe.es/gazeta/dias/1819/06/26/pdfs/GMD-1819-77.pdf#page=7","Abrir facsímil")</f>
        <v>Abrir facsímil</v>
      </c>
      <c r="K196" s="3" t="s">
        <v>67</v>
      </c>
    </row>
    <row r="197" spans="1:11" ht="42" customHeight="1">
      <c r="A197" s="2" t="s">
        <v>650</v>
      </c>
      <c r="B197" s="2" t="s">
        <v>650</v>
      </c>
      <c r="C197" s="2" t="s">
        <v>63</v>
      </c>
      <c r="D197" s="2" t="s">
        <v>43</v>
      </c>
      <c r="E197" s="5">
        <v>-29390</v>
      </c>
      <c r="F197" s="3" t="s">
        <v>263</v>
      </c>
      <c r="G197" s="3" t="s">
        <v>94</v>
      </c>
      <c r="H197" s="2" t="s">
        <v>65</v>
      </c>
      <c r="I197" s="2" t="s">
        <v>651</v>
      </c>
      <c r="J197" s="3" t="str">
        <f>HYPERLINK("https://www.boe.es/gazeta/dias/1819/07/13/pdfs/GMD-1819-84.pdf#page=11","Abrir facsímil")</f>
        <v>Abrir facsímil</v>
      </c>
      <c r="K197" s="3" t="s">
        <v>67</v>
      </c>
    </row>
    <row r="198" spans="1:11" ht="42" customHeight="1">
      <c r="A198" s="2" t="s">
        <v>652</v>
      </c>
      <c r="B198" s="2" t="s">
        <v>652</v>
      </c>
      <c r="C198" s="2" t="s">
        <v>63</v>
      </c>
      <c r="D198" s="2" t="s">
        <v>43</v>
      </c>
      <c r="E198" s="5">
        <v>-29416</v>
      </c>
      <c r="F198" s="3" t="s">
        <v>251</v>
      </c>
      <c r="G198" s="3" t="s">
        <v>28</v>
      </c>
      <c r="H198" s="2" t="s">
        <v>65</v>
      </c>
      <c r="I198" s="2" t="s">
        <v>653</v>
      </c>
      <c r="J198" s="3" t="str">
        <f>HYPERLINK("https://www.boe.es/gazeta/dias/1819/06/17/pdfs/GMD-1819-73.pdf#page=8","Abrir facsímil")</f>
        <v>Abrir facsímil</v>
      </c>
      <c r="K198" s="3" t="s">
        <v>67</v>
      </c>
    </row>
    <row r="199" spans="1:11" ht="42" customHeight="1">
      <c r="A199" s="2" t="s">
        <v>654</v>
      </c>
      <c r="B199" s="2" t="s">
        <v>655</v>
      </c>
      <c r="C199" s="2" t="s">
        <v>80</v>
      </c>
      <c r="D199" s="2" t="s">
        <v>81</v>
      </c>
      <c r="E199" s="5">
        <v>-29556</v>
      </c>
      <c r="F199" s="3" t="s">
        <v>255</v>
      </c>
      <c r="G199" s="3" t="s">
        <v>55</v>
      </c>
      <c r="H199" s="2" t="s">
        <v>65</v>
      </c>
      <c r="I199" s="2" t="s">
        <v>656</v>
      </c>
      <c r="J199" s="3" t="str">
        <f>HYPERLINK("https://www.boe.es/gazeta/dias/1819/01/28/pdfs/GMD-1819-12.pdf#page=7","Abrir facsímil")</f>
        <v>Abrir facsímil</v>
      </c>
      <c r="K199" s="3" t="s">
        <v>67</v>
      </c>
    </row>
    <row r="200" spans="1:11" ht="42" customHeight="1">
      <c r="A200" s="2" t="s">
        <v>657</v>
      </c>
      <c r="B200" s="2" t="s">
        <v>657</v>
      </c>
      <c r="C200" s="2" t="s">
        <v>80</v>
      </c>
      <c r="D200" s="2" t="s">
        <v>81</v>
      </c>
      <c r="E200" s="5">
        <v>-29264</v>
      </c>
      <c r="F200" s="3" t="s">
        <v>37</v>
      </c>
      <c r="G200" s="3" t="s">
        <v>20</v>
      </c>
      <c r="H200" s="2" t="s">
        <v>65</v>
      </c>
      <c r="I200" s="2" t="s">
        <v>658</v>
      </c>
      <c r="J200" s="3" t="str">
        <f>HYPERLINK("https://www.boe.es/gazeta/dias/1819/11/16/pdfs/GMD-1819-141.pdf#page=10","Abrir facsímil")</f>
        <v>Abrir facsímil</v>
      </c>
      <c r="K200" s="3" t="s">
        <v>67</v>
      </c>
    </row>
    <row r="201" spans="1:11" ht="42" customHeight="1">
      <c r="A201" s="2" t="s">
        <v>659</v>
      </c>
      <c r="B201" s="2" t="s">
        <v>660</v>
      </c>
      <c r="C201" s="2" t="s">
        <v>63</v>
      </c>
      <c r="D201" s="2" t="s">
        <v>43</v>
      </c>
      <c r="E201" s="5">
        <v>-29281</v>
      </c>
      <c r="F201" s="3" t="s">
        <v>19</v>
      </c>
      <c r="G201" s="3" t="s">
        <v>28</v>
      </c>
      <c r="H201" s="2" t="s">
        <v>65</v>
      </c>
      <c r="I201" s="2" t="s">
        <v>661</v>
      </c>
      <c r="J201" s="3" t="str">
        <f>HYPERLINK("https://www.boe.es/gazeta/dias/1819/10/30/pdfs/GMD-1819-134.pdf#page=8","Abrir facsímil")</f>
        <v>Abrir facsímil</v>
      </c>
      <c r="K201" s="3" t="s">
        <v>67</v>
      </c>
    </row>
    <row r="202" spans="1:11" ht="42" customHeight="1">
      <c r="A202" s="2" t="s">
        <v>662</v>
      </c>
      <c r="B202" s="2" t="s">
        <v>663</v>
      </c>
      <c r="C202" s="2" t="s">
        <v>59</v>
      </c>
      <c r="D202" s="2" t="s">
        <v>18</v>
      </c>
      <c r="E202" s="5">
        <v>-29369</v>
      </c>
      <c r="F202" s="3" t="s">
        <v>231</v>
      </c>
      <c r="G202" s="3" t="s">
        <v>28</v>
      </c>
      <c r="H202" s="2" t="s">
        <v>65</v>
      </c>
      <c r="I202" s="2" t="s">
        <v>664</v>
      </c>
      <c r="J202" s="3" t="str">
        <f>HYPERLINK("https://www.boe.es/gazeta/dias/1819/08/03/pdfs/GMD-1819-93.pdf#page=8","Abrir facsímil")</f>
        <v>Abrir facsímil</v>
      </c>
      <c r="K202" s="3" t="s">
        <v>67</v>
      </c>
    </row>
    <row r="203" spans="1:11" ht="42" customHeight="1">
      <c r="A203" s="2" t="s">
        <v>662</v>
      </c>
      <c r="B203" s="2" t="s">
        <v>663</v>
      </c>
      <c r="C203" s="2" t="s">
        <v>59</v>
      </c>
      <c r="D203" s="2" t="s">
        <v>18</v>
      </c>
      <c r="E203" s="5">
        <v>-29285</v>
      </c>
      <c r="F203" s="3" t="s">
        <v>578</v>
      </c>
      <c r="G203" s="3" t="s">
        <v>28</v>
      </c>
      <c r="H203" s="2" t="s">
        <v>65</v>
      </c>
      <c r="I203" s="2" t="s">
        <v>665</v>
      </c>
      <c r="J203" s="3" t="str">
        <f>HYPERLINK("https://www.boe.es/gazeta/dias/1819/10/26/pdfs/GMD-1819-132.pdf#page=8","Abrir facsímil")</f>
        <v>Abrir facsímil</v>
      </c>
      <c r="K203" s="3" t="s">
        <v>67</v>
      </c>
    </row>
    <row r="204" spans="1:11" ht="42" customHeight="1">
      <c r="A204" s="2" t="s">
        <v>666</v>
      </c>
      <c r="B204" s="2" t="s">
        <v>666</v>
      </c>
      <c r="C204" s="2" t="s">
        <v>63</v>
      </c>
      <c r="D204" s="2" t="s">
        <v>43</v>
      </c>
      <c r="E204" s="5">
        <v>-29572</v>
      </c>
      <c r="F204" s="3" t="s">
        <v>589</v>
      </c>
      <c r="G204" s="3" t="s">
        <v>590</v>
      </c>
      <c r="H204" s="2" t="s">
        <v>65</v>
      </c>
      <c r="I204" s="2" t="s">
        <v>667</v>
      </c>
      <c r="J204" s="3" t="str">
        <f>HYPERLINK("https://www.boe.es/gazeta/dias/1819/01/12/pdfs/GMD-1819-5.pdf#page=8","Abrir facsímil")</f>
        <v>Abrir facsímil</v>
      </c>
      <c r="K204" s="3" t="s">
        <v>67</v>
      </c>
    </row>
    <row r="205" spans="1:11" ht="42" customHeight="1">
      <c r="A205" s="2" t="s">
        <v>668</v>
      </c>
      <c r="B205" s="2" t="s">
        <v>668</v>
      </c>
      <c r="C205" s="2" t="s">
        <v>63</v>
      </c>
      <c r="D205" s="2" t="s">
        <v>454</v>
      </c>
      <c r="E205" s="5">
        <v>-29287</v>
      </c>
      <c r="F205" s="3" t="s">
        <v>455</v>
      </c>
      <c r="G205" s="3" t="s">
        <v>481</v>
      </c>
      <c r="H205" s="2" t="s">
        <v>65</v>
      </c>
      <c r="I205" s="2" t="s">
        <v>669</v>
      </c>
      <c r="J205" s="3" t="str">
        <f>HYPERLINK("https://www.boe.es/gazeta/dias/1819/10/24/pdfs/GMD-1819-131E.pdf#page=8","Abrir facsímil")</f>
        <v>Abrir facsímil</v>
      </c>
      <c r="K205" s="3" t="s">
        <v>67</v>
      </c>
    </row>
    <row r="206" spans="1:11" ht="42" customHeight="1">
      <c r="A206" s="2" t="s">
        <v>670</v>
      </c>
      <c r="B206" s="2" t="s">
        <v>671</v>
      </c>
      <c r="C206" s="2" t="s">
        <v>59</v>
      </c>
      <c r="D206" s="2" t="s">
        <v>18</v>
      </c>
      <c r="E206" s="5">
        <v>-29456</v>
      </c>
      <c r="F206" s="3" t="s">
        <v>468</v>
      </c>
      <c r="G206" s="3" t="s">
        <v>28</v>
      </c>
      <c r="H206" s="2" t="s">
        <v>65</v>
      </c>
      <c r="I206" s="2" t="s">
        <v>672</v>
      </c>
      <c r="J206" s="3" t="str">
        <f>HYPERLINK("https://www.boe.es/gazeta/dias/1819/05/08/pdfs/GMD-1819-55.pdf#page=8","Abrir facsímil")</f>
        <v>Abrir facsímil</v>
      </c>
      <c r="K206" s="3" t="s">
        <v>67</v>
      </c>
    </row>
    <row r="207" spans="1:11" ht="42" customHeight="1">
      <c r="A207" s="2" t="s">
        <v>673</v>
      </c>
      <c r="B207" s="2" t="s">
        <v>674</v>
      </c>
      <c r="C207" s="2" t="s">
        <v>63</v>
      </c>
      <c r="D207" s="2" t="s">
        <v>454</v>
      </c>
      <c r="E207" s="5">
        <v>-29287</v>
      </c>
      <c r="F207" s="3" t="s">
        <v>455</v>
      </c>
      <c r="G207" s="3" t="s">
        <v>481</v>
      </c>
      <c r="H207" s="2" t="s">
        <v>65</v>
      </c>
      <c r="I207" s="2" t="s">
        <v>675</v>
      </c>
      <c r="J207" s="3" t="str">
        <f>HYPERLINK("https://www.boe.es/gazeta/dias/1819/10/24/pdfs/GMD-1819-131E.pdf#page=8","Abrir facsímil")</f>
        <v>Abrir facsímil</v>
      </c>
      <c r="K207" s="3" t="s">
        <v>67</v>
      </c>
    </row>
    <row r="208" spans="1:11" ht="42" customHeight="1">
      <c r="A208" s="2" t="s">
        <v>676</v>
      </c>
      <c r="B208" s="2" t="s">
        <v>677</v>
      </c>
      <c r="C208" s="2" t="s">
        <v>80</v>
      </c>
      <c r="D208" s="2" t="s">
        <v>81</v>
      </c>
      <c r="E208" s="5">
        <v>-29311</v>
      </c>
      <c r="F208" s="3" t="s">
        <v>678</v>
      </c>
      <c r="G208" s="3" t="s">
        <v>28</v>
      </c>
      <c r="H208" s="2" t="s">
        <v>65</v>
      </c>
      <c r="I208" s="2" t="s">
        <v>679</v>
      </c>
      <c r="J208" s="3" t="str">
        <f>HYPERLINK("https://www.boe.es/gazeta/dias/1819/09/30/pdfs/GMD-1819-120.pdf#page=8","Abrir facsímil")</f>
        <v>Abrir facsímil</v>
      </c>
      <c r="K208" s="3" t="s">
        <v>67</v>
      </c>
    </row>
    <row r="209" spans="1:11" ht="42" customHeight="1">
      <c r="A209" s="2" t="s">
        <v>680</v>
      </c>
      <c r="B209" s="2" t="s">
        <v>680</v>
      </c>
      <c r="C209" s="2" t="s">
        <v>80</v>
      </c>
      <c r="D209" s="2" t="s">
        <v>81</v>
      </c>
      <c r="E209" s="5">
        <v>-29554</v>
      </c>
      <c r="F209" s="3" t="s">
        <v>150</v>
      </c>
      <c r="G209" s="3" t="s">
        <v>55</v>
      </c>
      <c r="H209" s="2" t="s">
        <v>65</v>
      </c>
      <c r="I209" s="2" t="s">
        <v>681</v>
      </c>
      <c r="J209" s="3" t="str">
        <f>HYPERLINK("https://www.boe.es/gazeta/dias/1819/01/30/pdfs/GMD-1819-13.pdf#page=7","Abrir facsímil")</f>
        <v>Abrir facsímil</v>
      </c>
      <c r="K209" s="3" t="s">
        <v>67</v>
      </c>
    </row>
    <row r="210" spans="1:11" ht="42" customHeight="1">
      <c r="A210" s="2" t="s">
        <v>682</v>
      </c>
      <c r="B210" s="2" t="s">
        <v>683</v>
      </c>
      <c r="C210" s="2" t="s">
        <v>63</v>
      </c>
      <c r="D210" s="2" t="s">
        <v>43</v>
      </c>
      <c r="E210" s="5">
        <v>-29395</v>
      </c>
      <c r="F210" s="3" t="s">
        <v>684</v>
      </c>
      <c r="G210" s="3" t="s">
        <v>685</v>
      </c>
      <c r="H210" s="2" t="s">
        <v>65</v>
      </c>
      <c r="I210" s="2" t="s">
        <v>686</v>
      </c>
      <c r="J210" s="3" t="str">
        <f>HYPERLINK("https://www.boe.es/gazeta/dias/1819/07/08/pdfs/GMD-1819-82.pdf#page=8","Abrir facsímil")</f>
        <v>Abrir facsímil</v>
      </c>
      <c r="K210" s="3" t="s">
        <v>67</v>
      </c>
    </row>
    <row r="211" spans="1:11" ht="42" customHeight="1">
      <c r="A211" s="2" t="s">
        <v>687</v>
      </c>
      <c r="B211" s="2" t="s">
        <v>688</v>
      </c>
      <c r="C211" s="2" t="s">
        <v>80</v>
      </c>
      <c r="D211" s="2" t="s">
        <v>81</v>
      </c>
      <c r="E211" s="5">
        <v>-29348</v>
      </c>
      <c r="F211" s="3" t="s">
        <v>227</v>
      </c>
      <c r="G211" s="3" t="s">
        <v>28</v>
      </c>
      <c r="H211" s="2" t="s">
        <v>65</v>
      </c>
      <c r="I211" s="2" t="s">
        <v>689</v>
      </c>
      <c r="J211" s="3" t="str">
        <f>HYPERLINK("https://www.boe.es/gazeta/dias/1819/08/24/pdfs/GMD-1819-102.pdf#page=8","Abrir facsímil")</f>
        <v>Abrir facsímil</v>
      </c>
      <c r="K211" s="3" t="s">
        <v>67</v>
      </c>
    </row>
    <row r="212" spans="1:11" ht="42" customHeight="1">
      <c r="A212" s="2" t="s">
        <v>687</v>
      </c>
      <c r="B212" s="2" t="s">
        <v>688</v>
      </c>
      <c r="C212" s="2" t="s">
        <v>80</v>
      </c>
      <c r="D212" s="2" t="s">
        <v>81</v>
      </c>
      <c r="E212" s="5">
        <v>-29320</v>
      </c>
      <c r="F212" s="3" t="s">
        <v>690</v>
      </c>
      <c r="G212" s="3" t="s">
        <v>28</v>
      </c>
      <c r="H212" s="2" t="s">
        <v>65</v>
      </c>
      <c r="I212" s="2" t="s">
        <v>691</v>
      </c>
      <c r="J212" s="3" t="str">
        <f>HYPERLINK("https://www.boe.es/gazeta/dias/1819/09/21/pdfs/GMD-1819-116.pdf#page=8","Abrir facsímil")</f>
        <v>Abrir facsímil</v>
      </c>
      <c r="K212" s="3" t="s">
        <v>67</v>
      </c>
    </row>
    <row r="213" spans="1:11" ht="42" customHeight="1">
      <c r="A213" s="2" t="s">
        <v>687</v>
      </c>
      <c r="B213" s="2" t="s">
        <v>688</v>
      </c>
      <c r="C213" s="2" t="s">
        <v>136</v>
      </c>
      <c r="D213" s="2" t="s">
        <v>18</v>
      </c>
      <c r="E213" s="5">
        <v>-29309</v>
      </c>
      <c r="F213" s="3" t="s">
        <v>476</v>
      </c>
      <c r="G213" s="3" t="s">
        <v>692</v>
      </c>
      <c r="H213" s="2" t="s">
        <v>65</v>
      </c>
      <c r="I213" s="2" t="s">
        <v>693</v>
      </c>
      <c r="J213" s="3" t="str">
        <f>HYPERLINK("https://www.boe.es/gazeta/dias/1819/10/02/pdfs/GMD-1819-121.pdf#page=8","Abrir facsímil")</f>
        <v>Abrir facsímil</v>
      </c>
      <c r="K213" s="3" t="s">
        <v>67</v>
      </c>
    </row>
    <row r="214" spans="1:11" ht="42" customHeight="1">
      <c r="A214" s="2" t="s">
        <v>694</v>
      </c>
      <c r="B214" s="2" t="s">
        <v>694</v>
      </c>
      <c r="C214" s="2" t="s">
        <v>136</v>
      </c>
      <c r="D214" s="2" t="s">
        <v>18</v>
      </c>
      <c r="E214" s="5">
        <v>-29411</v>
      </c>
      <c r="F214" s="3" t="s">
        <v>317</v>
      </c>
      <c r="G214" s="3" t="s">
        <v>695</v>
      </c>
      <c r="H214" s="2" t="s">
        <v>65</v>
      </c>
      <c r="I214" s="2" t="s">
        <v>696</v>
      </c>
      <c r="J214" s="3" t="str">
        <f>HYPERLINK("https://www.boe.es/gazeta/dias/1819/06/22/pdfs/GMD-1819-75.pdf#page=8","Abrir facsímil")</f>
        <v>Abrir facsímil</v>
      </c>
      <c r="K214" s="3" t="s">
        <v>67</v>
      </c>
    </row>
    <row r="215" spans="1:11" ht="42" customHeight="1">
      <c r="A215" s="2" t="s">
        <v>697</v>
      </c>
      <c r="B215" s="2" t="s">
        <v>698</v>
      </c>
      <c r="C215" s="2" t="s">
        <v>215</v>
      </c>
      <c r="D215" s="2" t="s">
        <v>18</v>
      </c>
      <c r="E215" s="5">
        <v>-29486</v>
      </c>
      <c r="F215" s="3" t="s">
        <v>330</v>
      </c>
      <c r="G215" s="3" t="s">
        <v>28</v>
      </c>
      <c r="H215" s="2" t="s">
        <v>65</v>
      </c>
      <c r="I215" s="2" t="s">
        <v>699</v>
      </c>
      <c r="J215" s="3" t="str">
        <f>HYPERLINK("https://www.boe.es/gazeta/dias/1819/04/08/pdfs/GMD-1819-42.pdf#page=8","Abrir facsímil")</f>
        <v>Abrir facsímil</v>
      </c>
      <c r="K215" s="3" t="s">
        <v>67</v>
      </c>
    </row>
    <row r="216" spans="1:11" ht="42" customHeight="1">
      <c r="A216" s="2" t="s">
        <v>697</v>
      </c>
      <c r="B216" s="2" t="s">
        <v>698</v>
      </c>
      <c r="C216" s="2" t="s">
        <v>59</v>
      </c>
      <c r="D216" s="2" t="s">
        <v>18</v>
      </c>
      <c r="E216" s="5">
        <v>-29316</v>
      </c>
      <c r="F216" s="3" t="s">
        <v>166</v>
      </c>
      <c r="G216" s="3" t="s">
        <v>33</v>
      </c>
      <c r="H216" s="2" t="s">
        <v>65</v>
      </c>
      <c r="I216" s="2" t="s">
        <v>700</v>
      </c>
      <c r="J216" s="3" t="str">
        <f>HYPERLINK("https://www.boe.es/gazeta/dias/1819/09/25/pdfs/GMD-1819-118.pdf#page=6","Abrir facsímil")</f>
        <v>Abrir facsímil</v>
      </c>
      <c r="K216" s="3" t="s">
        <v>67</v>
      </c>
    </row>
    <row r="217" spans="1:11" ht="42" customHeight="1">
      <c r="A217" s="2" t="s">
        <v>701</v>
      </c>
      <c r="B217" s="2" t="s">
        <v>701</v>
      </c>
      <c r="C217" s="2" t="s">
        <v>136</v>
      </c>
      <c r="D217" s="2" t="s">
        <v>18</v>
      </c>
      <c r="E217" s="5">
        <v>-29582</v>
      </c>
      <c r="F217" s="3" t="s">
        <v>376</v>
      </c>
      <c r="G217" s="3" t="s">
        <v>702</v>
      </c>
      <c r="H217" s="2" t="s">
        <v>65</v>
      </c>
      <c r="I217" s="2" t="s">
        <v>703</v>
      </c>
      <c r="J217" s="3" t="str">
        <f>HYPERLINK("https://www.boe.es/gazeta/dias/1819/01/02/pdfs/GMD-1819-1.pdf#page=7","Abrir facsímil")</f>
        <v>Abrir facsímil</v>
      </c>
      <c r="K217" s="3" t="s">
        <v>67</v>
      </c>
    </row>
    <row r="218" spans="1:11" ht="42" customHeight="1">
      <c r="A218" s="2" t="s">
        <v>701</v>
      </c>
      <c r="B218" s="2" t="s">
        <v>701</v>
      </c>
      <c r="C218" s="2" t="s">
        <v>80</v>
      </c>
      <c r="D218" s="2" t="s">
        <v>81</v>
      </c>
      <c r="E218" s="5">
        <v>-29542</v>
      </c>
      <c r="F218" s="3" t="s">
        <v>607</v>
      </c>
      <c r="G218" s="3" t="s">
        <v>456</v>
      </c>
      <c r="H218" s="2" t="s">
        <v>65</v>
      </c>
      <c r="I218" s="2" t="s">
        <v>704</v>
      </c>
      <c r="J218" s="3" t="str">
        <f>HYPERLINK("https://www.boe.es/gazeta/dias/1819/02/11/pdfs/GMD-1819-18.pdf#page=9","Abrir facsímil")</f>
        <v>Abrir facsímil</v>
      </c>
      <c r="K218" s="3" t="s">
        <v>67</v>
      </c>
    </row>
    <row r="219" spans="1:11" ht="42" customHeight="1">
      <c r="A219" s="2" t="s">
        <v>701</v>
      </c>
      <c r="B219" s="2" t="s">
        <v>701</v>
      </c>
      <c r="C219" s="2" t="s">
        <v>59</v>
      </c>
      <c r="D219" s="2" t="s">
        <v>18</v>
      </c>
      <c r="E219" s="5">
        <v>-29537</v>
      </c>
      <c r="F219" s="3" t="s">
        <v>593</v>
      </c>
      <c r="G219" s="3" t="s">
        <v>28</v>
      </c>
      <c r="H219" s="2" t="s">
        <v>65</v>
      </c>
      <c r="I219" s="2" t="s">
        <v>705</v>
      </c>
      <c r="J219" s="3" t="str">
        <f>HYPERLINK("https://www.boe.es/gazeta/dias/1819/02/16/pdfs/GMD-1819-20.pdf#page=8","Abrir facsímil")</f>
        <v>Abrir facsímil</v>
      </c>
      <c r="K219" s="3" t="s">
        <v>67</v>
      </c>
    </row>
    <row r="220" spans="1:11" ht="42" customHeight="1">
      <c r="A220" s="2" t="s">
        <v>701</v>
      </c>
      <c r="B220" s="2" t="s">
        <v>701</v>
      </c>
      <c r="C220" s="2" t="s">
        <v>26</v>
      </c>
      <c r="D220" s="2" t="s">
        <v>18</v>
      </c>
      <c r="E220" s="5">
        <v>-29535</v>
      </c>
      <c r="F220" s="3" t="s">
        <v>200</v>
      </c>
      <c r="G220" s="3" t="s">
        <v>28</v>
      </c>
      <c r="H220" s="2" t="s">
        <v>65</v>
      </c>
      <c r="I220" s="2" t="s">
        <v>706</v>
      </c>
      <c r="J220" s="3" t="str">
        <f>HYPERLINK("https://www.boe.es/gazeta/dias/1819/02/18/pdfs/GMD-1819-21.pdf#page=8","Abrir facsímil")</f>
        <v>Abrir facsímil</v>
      </c>
      <c r="K220" s="3" t="s">
        <v>67</v>
      </c>
    </row>
    <row r="221" spans="1:11" ht="42" customHeight="1">
      <c r="A221" s="2" t="s">
        <v>701</v>
      </c>
      <c r="B221" s="2" t="s">
        <v>701</v>
      </c>
      <c r="C221" s="2" t="s">
        <v>26</v>
      </c>
      <c r="D221" s="2" t="s">
        <v>18</v>
      </c>
      <c r="E221" s="5">
        <v>-29533</v>
      </c>
      <c r="F221" s="3" t="s">
        <v>280</v>
      </c>
      <c r="G221" s="3" t="s">
        <v>28</v>
      </c>
      <c r="H221" s="2" t="s">
        <v>65</v>
      </c>
      <c r="I221" s="2" t="s">
        <v>707</v>
      </c>
      <c r="J221" s="3" t="str">
        <f>HYPERLINK("https://www.boe.es/gazeta/dias/1819/02/20/pdfs/GMD-1819-22.pdf#page=8","Abrir facsímil")</f>
        <v>Abrir facsímil</v>
      </c>
      <c r="K221" s="3" t="s">
        <v>67</v>
      </c>
    </row>
    <row r="222" spans="1:11" ht="42" customHeight="1">
      <c r="A222" s="2" t="s">
        <v>701</v>
      </c>
      <c r="B222" s="2" t="s">
        <v>701</v>
      </c>
      <c r="C222" s="2" t="s">
        <v>63</v>
      </c>
      <c r="D222" s="2" t="s">
        <v>43</v>
      </c>
      <c r="E222" s="5">
        <v>-29528</v>
      </c>
      <c r="F222" s="3" t="s">
        <v>708</v>
      </c>
      <c r="G222" s="3" t="s">
        <v>55</v>
      </c>
      <c r="H222" s="2" t="s">
        <v>65</v>
      </c>
      <c r="I222" s="2" t="s">
        <v>709</v>
      </c>
      <c r="J222" s="3" t="str">
        <f>HYPERLINK("https://www.boe.es/gazeta/dias/1819/02/25/pdfs/GMD-1819-24.pdf#page=7","Abrir facsímil")</f>
        <v>Abrir facsímil</v>
      </c>
      <c r="K222" s="3" t="s">
        <v>67</v>
      </c>
    </row>
    <row r="223" spans="1:11" ht="42" customHeight="1">
      <c r="A223" s="2" t="s">
        <v>701</v>
      </c>
      <c r="B223" s="2" t="s">
        <v>701</v>
      </c>
      <c r="C223" s="2" t="s">
        <v>63</v>
      </c>
      <c r="D223" s="2" t="s">
        <v>43</v>
      </c>
      <c r="E223" s="5">
        <v>-29516</v>
      </c>
      <c r="F223" s="3" t="s">
        <v>137</v>
      </c>
      <c r="G223" s="3" t="s">
        <v>20</v>
      </c>
      <c r="H223" s="2" t="s">
        <v>65</v>
      </c>
      <c r="I223" s="2" t="s">
        <v>710</v>
      </c>
      <c r="J223" s="3" t="str">
        <f>HYPERLINK("https://www.boe.es/gazeta/dias/1819/03/09/pdfs/GMD-1819-29.pdf#page=10","Abrir facsímil")</f>
        <v>Abrir facsímil</v>
      </c>
      <c r="K223" s="3" t="s">
        <v>67</v>
      </c>
    </row>
    <row r="224" spans="1:11" ht="42" customHeight="1">
      <c r="A224" s="2" t="s">
        <v>701</v>
      </c>
      <c r="B224" s="2" t="s">
        <v>701</v>
      </c>
      <c r="C224" s="2" t="s">
        <v>80</v>
      </c>
      <c r="D224" s="2" t="s">
        <v>81</v>
      </c>
      <c r="E224" s="5">
        <v>-29514</v>
      </c>
      <c r="F224" s="3" t="s">
        <v>595</v>
      </c>
      <c r="G224" s="3" t="s">
        <v>55</v>
      </c>
      <c r="H224" s="2" t="s">
        <v>65</v>
      </c>
      <c r="I224" s="2" t="s">
        <v>711</v>
      </c>
      <c r="J224" s="3" t="str">
        <f>HYPERLINK("https://www.boe.es/gazeta/dias/1819/03/11/pdfs/GMD-1819-30.pdf#page=7","Abrir facsímil")</f>
        <v>Abrir facsímil</v>
      </c>
      <c r="K224" s="3" t="s">
        <v>67</v>
      </c>
    </row>
    <row r="225" spans="1:11" ht="42" customHeight="1">
      <c r="A225" s="2" t="s">
        <v>701</v>
      </c>
      <c r="B225" s="2" t="s">
        <v>701</v>
      </c>
      <c r="C225" s="2" t="s">
        <v>80</v>
      </c>
      <c r="D225" s="2" t="s">
        <v>81</v>
      </c>
      <c r="E225" s="5">
        <v>-29407</v>
      </c>
      <c r="F225" s="3" t="s">
        <v>64</v>
      </c>
      <c r="G225" s="3" t="s">
        <v>102</v>
      </c>
      <c r="H225" s="2" t="s">
        <v>65</v>
      </c>
      <c r="I225" s="2" t="s">
        <v>712</v>
      </c>
      <c r="J225" s="3" t="str">
        <f>HYPERLINK("https://www.boe.es/gazeta/dias/1819/06/26/pdfs/GMD-1819-77.pdf#page=3","Abrir facsímil")</f>
        <v>Abrir facsímil</v>
      </c>
      <c r="K225" s="3" t="s">
        <v>67</v>
      </c>
    </row>
    <row r="226" spans="1:11" ht="42" customHeight="1">
      <c r="A226" s="2" t="s">
        <v>701</v>
      </c>
      <c r="B226" s="2" t="s">
        <v>701</v>
      </c>
      <c r="C226" s="2" t="s">
        <v>63</v>
      </c>
      <c r="D226" s="2" t="s">
        <v>43</v>
      </c>
      <c r="E226" s="5">
        <v>-29376</v>
      </c>
      <c r="F226" s="3" t="s">
        <v>332</v>
      </c>
      <c r="G226" s="3" t="s">
        <v>33</v>
      </c>
      <c r="H226" s="2" t="s">
        <v>65</v>
      </c>
      <c r="I226" s="2" t="s">
        <v>713</v>
      </c>
      <c r="J226" s="3" t="str">
        <f>HYPERLINK("https://www.boe.es/gazeta/dias/1819/07/27/pdfs/GMD-1819-90.pdf#page=6","Abrir facsímil")</f>
        <v>Abrir facsímil</v>
      </c>
      <c r="K226" s="3" t="s">
        <v>67</v>
      </c>
    </row>
    <row r="227" spans="1:11" ht="42" customHeight="1">
      <c r="A227" s="2" t="s">
        <v>701</v>
      </c>
      <c r="B227" s="2" t="s">
        <v>701</v>
      </c>
      <c r="C227" s="2" t="s">
        <v>80</v>
      </c>
      <c r="D227" s="2" t="s">
        <v>81</v>
      </c>
      <c r="E227" s="5">
        <v>-29374</v>
      </c>
      <c r="F227" s="3" t="s">
        <v>204</v>
      </c>
      <c r="G227" s="3" t="s">
        <v>28</v>
      </c>
      <c r="H227" s="2" t="s">
        <v>65</v>
      </c>
      <c r="I227" s="2" t="s">
        <v>714</v>
      </c>
      <c r="J227" s="3" t="str">
        <f>HYPERLINK("https://www.boe.es/gazeta/dias/1819/07/29/pdfs/GMD-1819-91.pdf#page=8","Abrir facsímil")</f>
        <v>Abrir facsímil</v>
      </c>
      <c r="K227" s="3" t="s">
        <v>67</v>
      </c>
    </row>
    <row r="228" spans="1:11" ht="42" customHeight="1">
      <c r="A228" s="2" t="s">
        <v>701</v>
      </c>
      <c r="B228" s="2" t="s">
        <v>701</v>
      </c>
      <c r="C228" s="2" t="s">
        <v>80</v>
      </c>
      <c r="D228" s="2" t="s">
        <v>81</v>
      </c>
      <c r="E228" s="5">
        <v>-29372</v>
      </c>
      <c r="F228" s="3" t="s">
        <v>715</v>
      </c>
      <c r="G228" s="3" t="s">
        <v>716</v>
      </c>
      <c r="H228" s="2" t="s">
        <v>65</v>
      </c>
      <c r="I228" s="2" t="s">
        <v>717</v>
      </c>
      <c r="J228" s="3" t="str">
        <f>HYPERLINK("https://www.boe.es/gazeta/dias/1819/07/31/pdfs/GMD-1819-92.pdf#page=5","Abrir facsímil")</f>
        <v>Abrir facsímil</v>
      </c>
      <c r="K228" s="3" t="s">
        <v>67</v>
      </c>
    </row>
    <row r="229" spans="1:11" ht="42" customHeight="1">
      <c r="A229" s="2" t="s">
        <v>701</v>
      </c>
      <c r="B229" s="2" t="s">
        <v>701</v>
      </c>
      <c r="C229" s="2" t="s">
        <v>80</v>
      </c>
      <c r="D229" s="2" t="s">
        <v>81</v>
      </c>
      <c r="E229" s="5">
        <v>-29346</v>
      </c>
      <c r="F229" s="3" t="s">
        <v>718</v>
      </c>
      <c r="G229" s="3" t="s">
        <v>33</v>
      </c>
      <c r="H229" s="2" t="s">
        <v>65</v>
      </c>
      <c r="I229" s="2" t="s">
        <v>719</v>
      </c>
      <c r="J229" s="3" t="str">
        <f>HYPERLINK("https://www.boe.es/gazeta/dias/1819/08/26/pdfs/GMD-1819-103.pdf#page=6","Abrir facsímil")</f>
        <v>Abrir facsímil</v>
      </c>
      <c r="K229" s="3" t="s">
        <v>67</v>
      </c>
    </row>
    <row r="230" spans="1:11" ht="42" customHeight="1">
      <c r="A230" s="2" t="s">
        <v>701</v>
      </c>
      <c r="B230" s="2" t="s">
        <v>701</v>
      </c>
      <c r="C230" s="2" t="s">
        <v>63</v>
      </c>
      <c r="D230" s="2" t="s">
        <v>43</v>
      </c>
      <c r="E230" s="5">
        <v>-29316</v>
      </c>
      <c r="F230" s="3" t="s">
        <v>166</v>
      </c>
      <c r="G230" s="3" t="s">
        <v>28</v>
      </c>
      <c r="H230" s="2" t="s">
        <v>65</v>
      </c>
      <c r="I230" s="2" t="s">
        <v>720</v>
      </c>
      <c r="J230" s="3" t="str">
        <f>HYPERLINK("https://www.boe.es/gazeta/dias/1819/09/25/pdfs/GMD-1819-118.pdf#page=8","Abrir facsímil")</f>
        <v>Abrir facsímil</v>
      </c>
      <c r="K230" s="3" t="s">
        <v>67</v>
      </c>
    </row>
    <row r="231" spans="1:11" ht="42" customHeight="1">
      <c r="A231" s="2" t="s">
        <v>701</v>
      </c>
      <c r="B231" s="2" t="s">
        <v>701</v>
      </c>
      <c r="C231" s="2" t="s">
        <v>26</v>
      </c>
      <c r="D231" s="2" t="s">
        <v>18</v>
      </c>
      <c r="E231" s="5">
        <v>-29313</v>
      </c>
      <c r="F231" s="3" t="s">
        <v>129</v>
      </c>
      <c r="G231" s="3" t="s">
        <v>28</v>
      </c>
      <c r="H231" s="2" t="s">
        <v>65</v>
      </c>
      <c r="I231" s="2" t="s">
        <v>721</v>
      </c>
      <c r="J231" s="3" t="str">
        <f>HYPERLINK("https://www.boe.es/gazeta/dias/1819/09/28/pdfs/GMD-1819-119.pdf#page=8","Abrir facsímil")</f>
        <v>Abrir facsímil</v>
      </c>
      <c r="K231" s="3" t="s">
        <v>67</v>
      </c>
    </row>
    <row r="232" spans="1:11" ht="42" customHeight="1">
      <c r="A232" s="2" t="s">
        <v>701</v>
      </c>
      <c r="B232" s="2" t="s">
        <v>701</v>
      </c>
      <c r="C232" s="2" t="s">
        <v>80</v>
      </c>
      <c r="D232" s="2" t="s">
        <v>81</v>
      </c>
      <c r="E232" s="5">
        <v>-29297</v>
      </c>
      <c r="F232" s="3" t="s">
        <v>82</v>
      </c>
      <c r="G232" s="3" t="s">
        <v>55</v>
      </c>
      <c r="H232" s="2" t="s">
        <v>65</v>
      </c>
      <c r="I232" s="2" t="s">
        <v>722</v>
      </c>
      <c r="J232" s="3" t="str">
        <f>HYPERLINK("https://www.boe.es/gazeta/dias/1819/10/14/pdfs/GMD-1819-126.pdf#page=7","Abrir facsímil")</f>
        <v>Abrir facsímil</v>
      </c>
      <c r="K232" s="3" t="s">
        <v>67</v>
      </c>
    </row>
    <row r="233" spans="1:11" ht="42" customHeight="1">
      <c r="A233" s="2" t="s">
        <v>701</v>
      </c>
      <c r="B233" s="2" t="s">
        <v>701</v>
      </c>
      <c r="C233" s="2" t="s">
        <v>63</v>
      </c>
      <c r="D233" s="2" t="s">
        <v>43</v>
      </c>
      <c r="E233" s="5">
        <v>-29257</v>
      </c>
      <c r="F233" s="3" t="s">
        <v>73</v>
      </c>
      <c r="G233" s="3" t="s">
        <v>38</v>
      </c>
      <c r="H233" s="2" t="s">
        <v>65</v>
      </c>
      <c r="I233" s="2" t="s">
        <v>723</v>
      </c>
      <c r="J233" s="3" t="str">
        <f>HYPERLINK("https://www.boe.es/gazeta/dias/1819/11/23/pdfs/GMD-1819-144.pdf#page=5","Abrir facsímil")</f>
        <v>Abrir facsímil</v>
      </c>
      <c r="K233" s="3" t="s">
        <v>67</v>
      </c>
    </row>
    <row r="234" spans="1:11" ht="42" customHeight="1">
      <c r="A234" s="2" t="s">
        <v>701</v>
      </c>
      <c r="B234" s="2" t="s">
        <v>701</v>
      </c>
      <c r="C234" s="2" t="s">
        <v>63</v>
      </c>
      <c r="D234" s="2" t="s">
        <v>43</v>
      </c>
      <c r="E234" s="5">
        <v>-29239</v>
      </c>
      <c r="F234" s="3" t="s">
        <v>724</v>
      </c>
      <c r="G234" s="3" t="s">
        <v>55</v>
      </c>
      <c r="H234" s="2" t="s">
        <v>65</v>
      </c>
      <c r="I234" s="2" t="s">
        <v>725</v>
      </c>
      <c r="J234" s="3" t="str">
        <f>HYPERLINK("https://www.boe.es/gazeta/dias/1819/12/11/pdfs/GMD-1819-152.pdf#page=7","Abrir facsímil")</f>
        <v>Abrir facsímil</v>
      </c>
      <c r="K234" s="3" t="s">
        <v>67</v>
      </c>
    </row>
    <row r="235" spans="1:11" ht="42" customHeight="1">
      <c r="A235" s="2" t="s">
        <v>701</v>
      </c>
      <c r="B235" s="2" t="s">
        <v>701</v>
      </c>
      <c r="C235" s="2" t="s">
        <v>136</v>
      </c>
      <c r="D235" s="2" t="s">
        <v>18</v>
      </c>
      <c r="E235" s="5">
        <v>-29236</v>
      </c>
      <c r="F235" s="3" t="s">
        <v>379</v>
      </c>
      <c r="G235" s="3" t="s">
        <v>28</v>
      </c>
      <c r="H235" s="2" t="s">
        <v>65</v>
      </c>
      <c r="I235" s="2" t="s">
        <v>726</v>
      </c>
      <c r="J235" s="3" t="str">
        <f>HYPERLINK("https://www.boe.es/gazeta/dias/1819/12/14/pdfs/GMD-1819-153.pdf#page=8","Abrir facsímil")</f>
        <v>Abrir facsímil</v>
      </c>
      <c r="K235" s="3" t="s">
        <v>67</v>
      </c>
    </row>
    <row r="236" spans="1:11" ht="42" customHeight="1">
      <c r="A236" s="2" t="s">
        <v>701</v>
      </c>
      <c r="B236" s="2" t="s">
        <v>701</v>
      </c>
      <c r="C236" s="2" t="s">
        <v>136</v>
      </c>
      <c r="D236" s="2" t="s">
        <v>18</v>
      </c>
      <c r="E236" s="5">
        <v>-29225</v>
      </c>
      <c r="F236" s="3" t="s">
        <v>472</v>
      </c>
      <c r="G236" s="3" t="s">
        <v>55</v>
      </c>
      <c r="H236" s="2" t="s">
        <v>65</v>
      </c>
      <c r="I236" s="2" t="s">
        <v>727</v>
      </c>
      <c r="J236" s="3" t="str">
        <f>HYPERLINK("https://www.boe.es/gazeta/dias/1819/12/25/pdfs/GMD-1819-158.pdf#page=7","Abrir facsímil")</f>
        <v>Abrir facsímil</v>
      </c>
      <c r="K236" s="3" t="s">
        <v>67</v>
      </c>
    </row>
    <row r="237" spans="1:11" ht="42" customHeight="1">
      <c r="A237" s="2" t="s">
        <v>728</v>
      </c>
      <c r="B237" s="2" t="s">
        <v>729</v>
      </c>
      <c r="C237" s="2" t="s">
        <v>63</v>
      </c>
      <c r="D237" s="2" t="s">
        <v>43</v>
      </c>
      <c r="E237" s="5">
        <v>-29428</v>
      </c>
      <c r="F237" s="3" t="s">
        <v>730</v>
      </c>
      <c r="G237" s="3" t="s">
        <v>55</v>
      </c>
      <c r="H237" s="2" t="s">
        <v>65</v>
      </c>
      <c r="I237" s="2" t="s">
        <v>731</v>
      </c>
      <c r="J237" s="3" t="str">
        <f>HYPERLINK("https://www.boe.es/gazeta/dias/1819/06/05/pdfs/GMD-1819-67.pdf#page=7","Abrir facsímil")</f>
        <v>Abrir facsímil</v>
      </c>
      <c r="K237" s="3" t="s">
        <v>67</v>
      </c>
    </row>
    <row r="238" spans="1:11" ht="42" customHeight="1">
      <c r="A238" s="2" t="s">
        <v>728</v>
      </c>
      <c r="B238" s="2" t="s">
        <v>729</v>
      </c>
      <c r="C238" s="2" t="s">
        <v>246</v>
      </c>
      <c r="D238" s="2" t="s">
        <v>18</v>
      </c>
      <c r="E238" s="5">
        <v>-29414</v>
      </c>
      <c r="F238" s="3" t="s">
        <v>732</v>
      </c>
      <c r="G238" s="3" t="s">
        <v>33</v>
      </c>
      <c r="H238" s="2" t="s">
        <v>65</v>
      </c>
      <c r="I238" s="2" t="s">
        <v>733</v>
      </c>
      <c r="J238" s="3" t="str">
        <f>HYPERLINK("https://www.boe.es/gazeta/dias/1819/06/19/pdfs/GMD-1819-74.pdf#page=6","Abrir facsímil")</f>
        <v>Abrir facsímil</v>
      </c>
      <c r="K238" s="3" t="s">
        <v>67</v>
      </c>
    </row>
    <row r="239" spans="1:11" ht="42" customHeight="1">
      <c r="A239" s="2" t="s">
        <v>734</v>
      </c>
      <c r="B239" s="2" t="s">
        <v>735</v>
      </c>
      <c r="C239" s="2" t="s">
        <v>63</v>
      </c>
      <c r="D239" s="2" t="s">
        <v>43</v>
      </c>
      <c r="E239" s="5">
        <v>-29381</v>
      </c>
      <c r="F239" s="3" t="s">
        <v>736</v>
      </c>
      <c r="G239" s="3" t="s">
        <v>737</v>
      </c>
      <c r="H239" s="2" t="s">
        <v>65</v>
      </c>
      <c r="I239" s="2" t="s">
        <v>738</v>
      </c>
      <c r="J239" s="3" t="str">
        <f>HYPERLINK("https://www.boe.es/gazeta/dias/1819/07/22/pdfs/GMD-1819-88.pdf#page=8","Abrir facsímil")</f>
        <v>Abrir facsímil</v>
      </c>
      <c r="K239" s="3" t="s">
        <v>67</v>
      </c>
    </row>
    <row r="240" spans="1:11" ht="42" customHeight="1">
      <c r="A240" s="2" t="s">
        <v>739</v>
      </c>
      <c r="B240" s="2" t="s">
        <v>740</v>
      </c>
      <c r="C240" s="2" t="s">
        <v>63</v>
      </c>
      <c r="D240" s="2" t="s">
        <v>43</v>
      </c>
      <c r="E240" s="5">
        <v>-29512</v>
      </c>
      <c r="F240" s="3" t="s">
        <v>741</v>
      </c>
      <c r="G240" s="3" t="s">
        <v>55</v>
      </c>
      <c r="H240" s="2" t="s">
        <v>65</v>
      </c>
      <c r="I240" s="2" t="s">
        <v>742</v>
      </c>
      <c r="J240" s="3" t="str">
        <f>HYPERLINK("https://www.boe.es/gazeta/dias/1819/03/13/pdfs/GMD-1819-31.pdf#page=7","Abrir facsímil")</f>
        <v>Abrir facsímil</v>
      </c>
      <c r="K240" s="3" t="s">
        <v>67</v>
      </c>
    </row>
    <row r="241" spans="1:11" ht="42" customHeight="1">
      <c r="A241" s="2" t="s">
        <v>743</v>
      </c>
      <c r="B241" s="2" t="s">
        <v>743</v>
      </c>
      <c r="C241" s="2" t="s">
        <v>59</v>
      </c>
      <c r="D241" s="2" t="s">
        <v>18</v>
      </c>
      <c r="E241" s="5">
        <v>-29332</v>
      </c>
      <c r="F241" s="3" t="s">
        <v>499</v>
      </c>
      <c r="G241" s="3" t="s">
        <v>38</v>
      </c>
      <c r="H241" s="2" t="s">
        <v>65</v>
      </c>
      <c r="I241" s="2" t="s">
        <v>744</v>
      </c>
      <c r="J241" s="3" t="str">
        <f>HYPERLINK("https://www.boe.es/gazeta/dias/1819/09/09/pdfs/GMD-1819-110.pdf#page=5","Abrir facsímil")</f>
        <v>Abrir facsímil</v>
      </c>
      <c r="K241" s="3" t="s">
        <v>67</v>
      </c>
    </row>
    <row r="242" spans="1:11" ht="42" customHeight="1">
      <c r="A242" s="2" t="s">
        <v>745</v>
      </c>
      <c r="B242" s="2" t="s">
        <v>745</v>
      </c>
      <c r="C242" s="2" t="s">
        <v>80</v>
      </c>
      <c r="D242" s="2" t="s">
        <v>81</v>
      </c>
      <c r="E242" s="5">
        <v>-29248</v>
      </c>
      <c r="F242" s="3" t="s">
        <v>395</v>
      </c>
      <c r="G242" s="3" t="s">
        <v>94</v>
      </c>
      <c r="H242" s="2" t="s">
        <v>65</v>
      </c>
      <c r="I242" s="2" t="s">
        <v>746</v>
      </c>
      <c r="J242" s="3" t="str">
        <f>HYPERLINK("https://www.boe.es/gazeta/dias/1819/12/02/pdfs/GMD-1819-148.pdf#page=11","Abrir facsímil")</f>
        <v>Abrir facsímil</v>
      </c>
      <c r="K242" s="3" t="s">
        <v>67</v>
      </c>
    </row>
    <row r="243" spans="1:11" ht="42" customHeight="1">
      <c r="A243" s="2" t="s">
        <v>747</v>
      </c>
      <c r="B243" s="2" t="s">
        <v>747</v>
      </c>
      <c r="C243" s="2" t="s">
        <v>59</v>
      </c>
      <c r="D243" s="2" t="s">
        <v>18</v>
      </c>
      <c r="E243" s="5">
        <v>-29220</v>
      </c>
      <c r="F243" s="3" t="s">
        <v>397</v>
      </c>
      <c r="G243" s="3" t="s">
        <v>102</v>
      </c>
      <c r="H243" s="2" t="s">
        <v>65</v>
      </c>
      <c r="I243" s="2" t="s">
        <v>748</v>
      </c>
      <c r="J243" s="3" t="str">
        <f>HYPERLINK("https://www.boe.es/gazeta/dias/1819/12/30/pdfs/GMD-1819-160.pdf#page=3","Abrir facsímil")</f>
        <v>Abrir facsímil</v>
      </c>
      <c r="K243" s="3" t="s">
        <v>67</v>
      </c>
    </row>
    <row r="244" spans="1:11" ht="42" customHeight="1">
      <c r="A244" s="2" t="s">
        <v>749</v>
      </c>
      <c r="B244" s="2" t="s">
        <v>750</v>
      </c>
      <c r="C244" s="2" t="s">
        <v>136</v>
      </c>
      <c r="D244" s="2" t="s">
        <v>18</v>
      </c>
      <c r="E244" s="5">
        <v>-29267</v>
      </c>
      <c r="F244" s="3" t="s">
        <v>370</v>
      </c>
      <c r="G244" s="3" t="s">
        <v>33</v>
      </c>
      <c r="H244" s="2" t="s">
        <v>65</v>
      </c>
      <c r="I244" s="2" t="s">
        <v>751</v>
      </c>
      <c r="J244" s="3" t="str">
        <f>HYPERLINK("https://www.boe.es/gazeta/dias/1819/11/13/pdfs/GMD-1819-140.pdf#page=6","Abrir facsímil")</f>
        <v>Abrir facsímil</v>
      </c>
      <c r="K244" s="3" t="s">
        <v>67</v>
      </c>
    </row>
    <row r="245" spans="1:11" ht="42" customHeight="1">
      <c r="A245" s="2" t="s">
        <v>749</v>
      </c>
      <c r="B245" s="2" t="s">
        <v>750</v>
      </c>
      <c r="C245" s="2" t="s">
        <v>42</v>
      </c>
      <c r="D245" s="2" t="s">
        <v>43</v>
      </c>
      <c r="E245" s="5">
        <v>-29232</v>
      </c>
      <c r="F245" s="3" t="s">
        <v>752</v>
      </c>
      <c r="G245" s="3" t="s">
        <v>753</v>
      </c>
      <c r="H245" s="2" t="s">
        <v>65</v>
      </c>
      <c r="I245" s="2" t="s">
        <v>754</v>
      </c>
      <c r="J245" s="3" t="str">
        <f>HYPERLINK("https://www.boe.es/gazeta/dias/1819/12/18/pdfs/GMD-1819-155.pdf#page=7","Abrir facsímil")</f>
        <v>Abrir facsímil</v>
      </c>
      <c r="K245" s="3" t="s">
        <v>67</v>
      </c>
    </row>
    <row r="246" spans="1:11" ht="42" customHeight="1">
      <c r="A246" s="2" t="s">
        <v>749</v>
      </c>
      <c r="B246" s="2" t="s">
        <v>750</v>
      </c>
      <c r="C246" s="2" t="s">
        <v>59</v>
      </c>
      <c r="D246" s="2" t="s">
        <v>18</v>
      </c>
      <c r="E246" s="5">
        <v>-29232</v>
      </c>
      <c r="F246" s="3" t="s">
        <v>752</v>
      </c>
      <c r="G246" s="3" t="s">
        <v>33</v>
      </c>
      <c r="H246" s="2" t="s">
        <v>65</v>
      </c>
      <c r="I246" s="2" t="s">
        <v>755</v>
      </c>
      <c r="J246" s="3" t="str">
        <f>HYPERLINK("https://www.boe.es/gazeta/dias/1819/12/18/pdfs/GMD-1819-155.pdf#page=6","Abrir facsímil")</f>
        <v>Abrir facsímil</v>
      </c>
      <c r="K246" s="3" t="s">
        <v>67</v>
      </c>
    </row>
    <row r="247" spans="1:11" ht="42" customHeight="1">
      <c r="A247" s="2" t="s">
        <v>756</v>
      </c>
      <c r="B247" s="2" t="s">
        <v>757</v>
      </c>
      <c r="C247" s="2" t="s">
        <v>80</v>
      </c>
      <c r="D247" s="2" t="s">
        <v>81</v>
      </c>
      <c r="E247" s="5">
        <v>-29582</v>
      </c>
      <c r="F247" s="3" t="s">
        <v>376</v>
      </c>
      <c r="G247" s="3" t="s">
        <v>702</v>
      </c>
      <c r="H247" s="2" t="s">
        <v>65</v>
      </c>
      <c r="I247" s="2" t="s">
        <v>758</v>
      </c>
      <c r="J247" s="3" t="str">
        <f>HYPERLINK("https://www.boe.es/gazeta/dias/1819/01/02/pdfs/GMD-1819-1.pdf#page=7","Abrir facsímil")</f>
        <v>Abrir facsímil</v>
      </c>
      <c r="K247" s="3" t="s">
        <v>67</v>
      </c>
    </row>
    <row r="248" spans="1:11" ht="42" customHeight="1">
      <c r="A248" s="2" t="s">
        <v>759</v>
      </c>
      <c r="B248" s="2" t="s">
        <v>760</v>
      </c>
      <c r="C248" s="2" t="s">
        <v>80</v>
      </c>
      <c r="D248" s="2" t="s">
        <v>81</v>
      </c>
      <c r="E248" s="5">
        <v>-29582</v>
      </c>
      <c r="F248" s="3" t="s">
        <v>376</v>
      </c>
      <c r="G248" s="3" t="s">
        <v>38</v>
      </c>
      <c r="H248" s="2" t="s">
        <v>65</v>
      </c>
      <c r="I248" s="2" t="s">
        <v>761</v>
      </c>
      <c r="J248" s="3" t="str">
        <f>HYPERLINK("https://www.boe.es/gazeta/dias/1819/01/02/pdfs/GMD-1819-1.pdf#page=5","Abrir facsímil")</f>
        <v>Abrir facsímil</v>
      </c>
      <c r="K248" s="3" t="s">
        <v>67</v>
      </c>
    </row>
    <row r="249" spans="1:11" ht="42" customHeight="1">
      <c r="A249" s="2" t="s">
        <v>759</v>
      </c>
      <c r="B249" s="2" t="s">
        <v>760</v>
      </c>
      <c r="C249" s="2" t="s">
        <v>80</v>
      </c>
      <c r="D249" s="2" t="s">
        <v>81</v>
      </c>
      <c r="E249" s="5">
        <v>-29549</v>
      </c>
      <c r="F249" s="3" t="s">
        <v>124</v>
      </c>
      <c r="G249" s="3" t="s">
        <v>125</v>
      </c>
      <c r="H249" s="2" t="s">
        <v>65</v>
      </c>
      <c r="I249" s="2" t="s">
        <v>762</v>
      </c>
      <c r="J249" s="3" t="str">
        <f>HYPERLINK("https://www.boe.es/gazeta/dias/1819/02/04/pdfs/GMD-1819-15.pdf#page=7","Abrir facsímil")</f>
        <v>Abrir facsímil</v>
      </c>
      <c r="K249" s="3" t="s">
        <v>67</v>
      </c>
    </row>
    <row r="250" spans="1:11" ht="42" customHeight="1">
      <c r="A250" s="2" t="s">
        <v>759</v>
      </c>
      <c r="B250" s="2" t="s">
        <v>760</v>
      </c>
      <c r="C250" s="2" t="s">
        <v>80</v>
      </c>
      <c r="D250" s="2" t="s">
        <v>81</v>
      </c>
      <c r="E250" s="5">
        <v>-29530</v>
      </c>
      <c r="F250" s="3" t="s">
        <v>202</v>
      </c>
      <c r="G250" s="3" t="s">
        <v>33</v>
      </c>
      <c r="H250" s="2" t="s">
        <v>65</v>
      </c>
      <c r="I250" s="2" t="s">
        <v>763</v>
      </c>
      <c r="J250" s="3" t="str">
        <f>HYPERLINK("https://www.boe.es/gazeta/dias/1819/02/23/pdfs/GMD-1819-23.pdf#page=6","Abrir facsímil")</f>
        <v>Abrir facsímil</v>
      </c>
      <c r="K250" s="3" t="s">
        <v>67</v>
      </c>
    </row>
    <row r="251" spans="1:11" ht="42" customHeight="1">
      <c r="A251" s="2" t="s">
        <v>759</v>
      </c>
      <c r="B251" s="2" t="s">
        <v>760</v>
      </c>
      <c r="C251" s="2" t="s">
        <v>80</v>
      </c>
      <c r="D251" s="2" t="s">
        <v>81</v>
      </c>
      <c r="E251" s="5">
        <v>-29530</v>
      </c>
      <c r="F251" s="3" t="s">
        <v>202</v>
      </c>
      <c r="G251" s="3" t="s">
        <v>55</v>
      </c>
      <c r="H251" s="2" t="s">
        <v>65</v>
      </c>
      <c r="I251" s="2" t="s">
        <v>764</v>
      </c>
      <c r="J251" s="3" t="str">
        <f>HYPERLINK("https://www.boe.es/gazeta/dias/1819/02/23/pdfs/GMD-1819-23.pdf#page=7","Abrir facsímil")</f>
        <v>Abrir facsímil</v>
      </c>
      <c r="K251" s="3" t="s">
        <v>67</v>
      </c>
    </row>
    <row r="252" spans="1:11" ht="42" customHeight="1">
      <c r="A252" s="2" t="s">
        <v>759</v>
      </c>
      <c r="B252" s="2" t="s">
        <v>760</v>
      </c>
      <c r="C252" s="2" t="s">
        <v>80</v>
      </c>
      <c r="D252" s="2" t="s">
        <v>81</v>
      </c>
      <c r="E252" s="5">
        <v>-29472</v>
      </c>
      <c r="F252" s="3" t="s">
        <v>393</v>
      </c>
      <c r="G252" s="3" t="s">
        <v>296</v>
      </c>
      <c r="H252" s="2" t="s">
        <v>65</v>
      </c>
      <c r="I252" s="2" t="s">
        <v>765</v>
      </c>
      <c r="J252" s="3" t="str">
        <f>HYPERLINK("https://www.boe.es/gazeta/dias/1819/04/22/pdfs/GMD-1819-48.pdf#page=4","Abrir facsímil")</f>
        <v>Abrir facsímil</v>
      </c>
      <c r="K252" s="3" t="s">
        <v>67</v>
      </c>
    </row>
    <row r="253" spans="1:11" ht="42" customHeight="1">
      <c r="A253" s="2" t="s">
        <v>759</v>
      </c>
      <c r="B253" s="2" t="s">
        <v>760</v>
      </c>
      <c r="C253" s="2" t="s">
        <v>246</v>
      </c>
      <c r="D253" s="2" t="s">
        <v>18</v>
      </c>
      <c r="E253" s="5">
        <v>-29458</v>
      </c>
      <c r="F253" s="3" t="s">
        <v>766</v>
      </c>
      <c r="G253" s="3" t="s">
        <v>38</v>
      </c>
      <c r="H253" s="2" t="s">
        <v>65</v>
      </c>
      <c r="I253" s="2" t="s">
        <v>767</v>
      </c>
      <c r="J253" s="3" t="str">
        <f>HYPERLINK("https://www.boe.es/gazeta/dias/1819/05/06/pdfs/GMD-1819-54.pdf#page=5","Abrir facsímil")</f>
        <v>Abrir facsímil</v>
      </c>
      <c r="K253" s="3" t="s">
        <v>67</v>
      </c>
    </row>
    <row r="254" spans="1:11" ht="42" customHeight="1">
      <c r="A254" s="2" t="s">
        <v>759</v>
      </c>
      <c r="B254" s="2" t="s">
        <v>760</v>
      </c>
      <c r="C254" s="2" t="s">
        <v>80</v>
      </c>
      <c r="D254" s="2" t="s">
        <v>81</v>
      </c>
      <c r="E254" s="5">
        <v>-29453</v>
      </c>
      <c r="F254" s="3" t="s">
        <v>768</v>
      </c>
      <c r="G254" s="3" t="s">
        <v>769</v>
      </c>
      <c r="H254" s="2" t="s">
        <v>65</v>
      </c>
      <c r="I254" s="2" t="s">
        <v>770</v>
      </c>
      <c r="J254" s="3" t="str">
        <f>HYPERLINK("https://www.boe.es/gazeta/dias/1819/05/11/pdfs/GMD-1819-56.pdf#page=4","Abrir facsímil")</f>
        <v>Abrir facsímil</v>
      </c>
      <c r="K254" s="3" t="s">
        <v>67</v>
      </c>
    </row>
    <row r="255" spans="1:11" ht="42" customHeight="1">
      <c r="A255" s="2" t="s">
        <v>759</v>
      </c>
      <c r="B255" s="2" t="s">
        <v>760</v>
      </c>
      <c r="C255" s="2" t="s">
        <v>80</v>
      </c>
      <c r="D255" s="2" t="s">
        <v>81</v>
      </c>
      <c r="E255" s="5">
        <v>-29449</v>
      </c>
      <c r="F255" s="3" t="s">
        <v>771</v>
      </c>
      <c r="G255" s="3" t="s">
        <v>38</v>
      </c>
      <c r="H255" s="2" t="s">
        <v>65</v>
      </c>
      <c r="I255" s="2" t="s">
        <v>772</v>
      </c>
      <c r="J255" s="3" t="str">
        <f>HYPERLINK("https://www.boe.es/gazeta/dias/1819/05/15/pdfs/GMD-1819-58.pdf#page=5","Abrir facsímil")</f>
        <v>Abrir facsímil</v>
      </c>
      <c r="K255" s="3" t="s">
        <v>67</v>
      </c>
    </row>
    <row r="256" spans="1:11" ht="42" customHeight="1">
      <c r="A256" s="2" t="s">
        <v>759</v>
      </c>
      <c r="B256" s="2" t="s">
        <v>760</v>
      </c>
      <c r="C256" s="2" t="s">
        <v>80</v>
      </c>
      <c r="D256" s="2" t="s">
        <v>81</v>
      </c>
      <c r="E256" s="5">
        <v>-29446</v>
      </c>
      <c r="F256" s="3" t="s">
        <v>773</v>
      </c>
      <c r="G256" s="3" t="s">
        <v>774</v>
      </c>
      <c r="H256" s="2" t="s">
        <v>65</v>
      </c>
      <c r="I256" s="2" t="s">
        <v>775</v>
      </c>
      <c r="J256" s="3" t="str">
        <f>HYPERLINK("https://www.boe.es/gazeta/dias/1819/05/18/pdfs/GMD-1819-59.pdf#page=6","Abrir facsímil")</f>
        <v>Abrir facsímil</v>
      </c>
      <c r="K256" s="3" t="s">
        <v>67</v>
      </c>
    </row>
    <row r="257" spans="1:11" ht="42" customHeight="1">
      <c r="A257" s="2" t="s">
        <v>759</v>
      </c>
      <c r="B257" s="2" t="s">
        <v>760</v>
      </c>
      <c r="C257" s="2" t="s">
        <v>59</v>
      </c>
      <c r="D257" s="2" t="s">
        <v>18</v>
      </c>
      <c r="E257" s="5">
        <v>-29446</v>
      </c>
      <c r="F257" s="3" t="s">
        <v>773</v>
      </c>
      <c r="G257" s="3" t="s">
        <v>776</v>
      </c>
      <c r="H257" s="2" t="s">
        <v>65</v>
      </c>
      <c r="I257" s="2" t="s">
        <v>777</v>
      </c>
      <c r="J257" s="3" t="str">
        <f>HYPERLINK("https://www.boe.es/gazeta/dias/1819/05/18/pdfs/GMD-1819-59.pdf#page=7","Abrir facsímil")</f>
        <v>Abrir facsímil</v>
      </c>
      <c r="K257" s="3" t="s">
        <v>67</v>
      </c>
    </row>
    <row r="258" spans="1:11" ht="42" customHeight="1">
      <c r="A258" s="2" t="s">
        <v>759</v>
      </c>
      <c r="B258" s="2" t="s">
        <v>760</v>
      </c>
      <c r="C258" s="2" t="s">
        <v>80</v>
      </c>
      <c r="D258" s="2" t="s">
        <v>81</v>
      </c>
      <c r="E258" s="5">
        <v>-29444</v>
      </c>
      <c r="F258" s="3" t="s">
        <v>258</v>
      </c>
      <c r="G258" s="3" t="s">
        <v>55</v>
      </c>
      <c r="H258" s="2" t="s">
        <v>65</v>
      </c>
      <c r="I258" s="2" t="s">
        <v>778</v>
      </c>
      <c r="J258" s="3" t="str">
        <f>HYPERLINK("https://www.boe.es/gazeta/dias/1819/05/20/pdfs/GMD-1819-60.pdf#page=7","Abrir facsímil")</f>
        <v>Abrir facsímil</v>
      </c>
      <c r="K258" s="3" t="s">
        <v>67</v>
      </c>
    </row>
    <row r="259" spans="1:11" ht="42" customHeight="1">
      <c r="A259" s="2" t="s">
        <v>779</v>
      </c>
      <c r="B259" s="2" t="s">
        <v>780</v>
      </c>
      <c r="C259" s="2" t="s">
        <v>80</v>
      </c>
      <c r="D259" s="2" t="s">
        <v>81</v>
      </c>
      <c r="E259" s="5">
        <v>-29549</v>
      </c>
      <c r="F259" s="3" t="s">
        <v>124</v>
      </c>
      <c r="G259" s="3" t="s">
        <v>38</v>
      </c>
      <c r="H259" s="2" t="s">
        <v>65</v>
      </c>
      <c r="I259" s="2" t="s">
        <v>781</v>
      </c>
      <c r="J259" s="3" t="str">
        <f>HYPERLINK("https://www.boe.es/gazeta/dias/1819/02/04/pdfs/GMD-1819-15.pdf#page=5","Abrir facsímil")</f>
        <v>Abrir facsímil</v>
      </c>
      <c r="K259" s="3" t="s">
        <v>67</v>
      </c>
    </row>
    <row r="260" spans="1:11" ht="42" customHeight="1">
      <c r="A260" s="2" t="s">
        <v>782</v>
      </c>
      <c r="B260" s="2" t="s">
        <v>783</v>
      </c>
      <c r="C260" s="2" t="s">
        <v>59</v>
      </c>
      <c r="D260" s="2" t="s">
        <v>454</v>
      </c>
      <c r="E260" s="5">
        <v>-29287</v>
      </c>
      <c r="F260" s="3" t="s">
        <v>455</v>
      </c>
      <c r="G260" s="3" t="s">
        <v>481</v>
      </c>
      <c r="H260" s="2" t="s">
        <v>65</v>
      </c>
      <c r="I260" s="2" t="s">
        <v>784</v>
      </c>
      <c r="J260" s="3" t="str">
        <f>HYPERLINK("https://www.boe.es/gazeta/dias/1819/10/24/pdfs/GMD-1819-131E.pdf#page=8","Abrir facsímil")</f>
        <v>Abrir facsímil</v>
      </c>
      <c r="K260" s="3" t="s">
        <v>67</v>
      </c>
    </row>
    <row r="261" spans="1:11" ht="42" customHeight="1">
      <c r="A261" s="2" t="s">
        <v>785</v>
      </c>
      <c r="B261" s="2" t="s">
        <v>786</v>
      </c>
      <c r="C261" s="2" t="s">
        <v>59</v>
      </c>
      <c r="D261" s="2" t="s">
        <v>18</v>
      </c>
      <c r="E261" s="5">
        <v>-29582</v>
      </c>
      <c r="F261" s="3" t="s">
        <v>376</v>
      </c>
      <c r="G261" s="3" t="s">
        <v>544</v>
      </c>
      <c r="H261" s="2" t="s">
        <v>65</v>
      </c>
      <c r="I261" s="2" t="s">
        <v>787</v>
      </c>
      <c r="J261" s="3" t="str">
        <f>HYPERLINK("https://www.boe.es/gazeta/dias/1819/01/02/pdfs/GMD-1819-1.pdf#page=6","Abrir facsímil")</f>
        <v>Abrir facsímil</v>
      </c>
      <c r="K261" s="3" t="s">
        <v>67</v>
      </c>
    </row>
    <row r="262" spans="1:11" ht="42" customHeight="1">
      <c r="A262" s="2" t="s">
        <v>788</v>
      </c>
      <c r="B262" s="2" t="s">
        <v>788</v>
      </c>
      <c r="C262" s="2" t="s">
        <v>63</v>
      </c>
      <c r="D262" s="2" t="s">
        <v>43</v>
      </c>
      <c r="E262" s="5">
        <v>-29477</v>
      </c>
      <c r="F262" s="3" t="s">
        <v>789</v>
      </c>
      <c r="G262" s="3" t="s">
        <v>239</v>
      </c>
      <c r="H262" s="2" t="s">
        <v>65</v>
      </c>
      <c r="I262" s="2" t="s">
        <v>790</v>
      </c>
      <c r="J262" s="3" t="str">
        <f>HYPERLINK("https://www.boe.es/gazeta/dias/1819/04/17/pdfs/GMD-1819-46.pdf#page=1","Abrir facsímil")</f>
        <v>Abrir facsímil</v>
      </c>
      <c r="K262" s="3" t="s">
        <v>67</v>
      </c>
    </row>
    <row r="263" spans="1:11" ht="42" customHeight="1">
      <c r="A263" s="2" t="s">
        <v>791</v>
      </c>
      <c r="B263" s="2" t="s">
        <v>791</v>
      </c>
      <c r="C263" s="2" t="s">
        <v>80</v>
      </c>
      <c r="D263" s="2" t="s">
        <v>81</v>
      </c>
      <c r="E263" s="5">
        <v>-29390</v>
      </c>
      <c r="F263" s="3" t="s">
        <v>263</v>
      </c>
      <c r="G263" s="3" t="s">
        <v>38</v>
      </c>
      <c r="H263" s="2" t="s">
        <v>65</v>
      </c>
      <c r="I263" s="2" t="s">
        <v>792</v>
      </c>
      <c r="J263" s="3" t="str">
        <f>HYPERLINK("https://www.boe.es/gazeta/dias/1819/07/13/pdfs/GMD-1819-84.pdf#page=5","Abrir facsímil")</f>
        <v>Abrir facsímil</v>
      </c>
      <c r="K263" s="3" t="s">
        <v>67</v>
      </c>
    </row>
    <row r="264" spans="1:11" ht="42" customHeight="1">
      <c r="A264" s="2" t="s">
        <v>793</v>
      </c>
      <c r="B264" s="2" t="s">
        <v>794</v>
      </c>
      <c r="C264" s="2" t="s">
        <v>26</v>
      </c>
      <c r="D264" s="2" t="s">
        <v>454</v>
      </c>
      <c r="E264" s="5">
        <v>-29287</v>
      </c>
      <c r="F264" s="3" t="s">
        <v>455</v>
      </c>
      <c r="G264" s="3" t="s">
        <v>20</v>
      </c>
      <c r="H264" s="2" t="s">
        <v>65</v>
      </c>
      <c r="I264" s="2" t="s">
        <v>795</v>
      </c>
      <c r="J264" s="3" t="str">
        <f>HYPERLINK("https://www.boe.es/gazeta/dias/1819/10/24/pdfs/GMD-1819-131E.pdf#page=10","Abrir facsímil")</f>
        <v>Abrir facsímil</v>
      </c>
      <c r="K264" s="3" t="s">
        <v>67</v>
      </c>
    </row>
    <row r="265" spans="1:11" ht="42" customHeight="1">
      <c r="A265" s="2" t="s">
        <v>796</v>
      </c>
      <c r="B265" s="2" t="s">
        <v>797</v>
      </c>
      <c r="C265" s="2" t="s">
        <v>63</v>
      </c>
      <c r="D265" s="2" t="s">
        <v>43</v>
      </c>
      <c r="E265" s="5">
        <v>-29299</v>
      </c>
      <c r="F265" s="3" t="s">
        <v>798</v>
      </c>
      <c r="G265" s="3" t="s">
        <v>799</v>
      </c>
      <c r="H265" s="2" t="s">
        <v>65</v>
      </c>
      <c r="I265" s="2" t="s">
        <v>800</v>
      </c>
      <c r="J265" s="3" t="str">
        <f>HYPERLINK("https://www.boe.es/gazeta/dias/1819/10/12/pdfs/GMD-1819-125.pdf#page=6","Abrir facsímil")</f>
        <v>Abrir facsímil</v>
      </c>
      <c r="K265" s="3" t="s">
        <v>67</v>
      </c>
    </row>
    <row r="266" spans="1:11" ht="42" customHeight="1">
      <c r="A266" s="2" t="s">
        <v>801</v>
      </c>
      <c r="B266" s="2" t="s">
        <v>802</v>
      </c>
      <c r="C266" s="2" t="s">
        <v>26</v>
      </c>
      <c r="D266" s="2" t="s">
        <v>18</v>
      </c>
      <c r="E266" s="5">
        <v>-29362</v>
      </c>
      <c r="F266" s="3" t="s">
        <v>803</v>
      </c>
      <c r="G266" s="3" t="s">
        <v>33</v>
      </c>
      <c r="H266" s="2" t="s">
        <v>65</v>
      </c>
      <c r="I266" s="2" t="s">
        <v>804</v>
      </c>
      <c r="J266" s="3" t="str">
        <f>HYPERLINK("https://www.boe.es/gazeta/dias/1819/08/10/pdfs/GMD-1819-96.pdf#page=6","Abrir facsímil")</f>
        <v>Abrir facsímil</v>
      </c>
      <c r="K266" s="3" t="s">
        <v>67</v>
      </c>
    </row>
    <row r="267" spans="1:11" ht="42" customHeight="1">
      <c r="A267" s="2" t="s">
        <v>805</v>
      </c>
      <c r="B267" s="2" t="s">
        <v>805</v>
      </c>
      <c r="C267" s="2" t="s">
        <v>80</v>
      </c>
      <c r="D267" s="2" t="s">
        <v>81</v>
      </c>
      <c r="E267" s="5">
        <v>-29341</v>
      </c>
      <c r="F267" s="3" t="s">
        <v>806</v>
      </c>
      <c r="G267" s="3" t="s">
        <v>239</v>
      </c>
      <c r="H267" s="2" t="s">
        <v>65</v>
      </c>
      <c r="I267" s="2" t="s">
        <v>807</v>
      </c>
      <c r="J267" s="3" t="str">
        <f>HYPERLINK("https://www.boe.es/gazeta/dias/1819/08/31/pdfs/GMD-1819-105.pdf#page=1","Abrir facsímil")</f>
        <v>Abrir facsímil</v>
      </c>
      <c r="K267" s="3" t="s">
        <v>67</v>
      </c>
    </row>
    <row r="268" spans="1:11" ht="42" customHeight="1">
      <c r="A268" s="2" t="s">
        <v>808</v>
      </c>
      <c r="B268" s="2" t="s">
        <v>809</v>
      </c>
      <c r="C268" s="2" t="s">
        <v>80</v>
      </c>
      <c r="D268" s="2" t="s">
        <v>81</v>
      </c>
      <c r="E268" s="5">
        <v>-29248</v>
      </c>
      <c r="F268" s="3" t="s">
        <v>395</v>
      </c>
      <c r="G268" s="3" t="s">
        <v>28</v>
      </c>
      <c r="H268" s="2" t="s">
        <v>65</v>
      </c>
      <c r="I268" s="2" t="s">
        <v>810</v>
      </c>
      <c r="J268" s="3" t="str">
        <f>HYPERLINK("https://www.boe.es/gazeta/dias/1819/12/02/pdfs/GMD-1819-148.pdf#page=8","Abrir facsímil")</f>
        <v>Abrir facsímil</v>
      </c>
      <c r="K268" s="3" t="s">
        <v>67</v>
      </c>
    </row>
    <row r="269" spans="1:11" ht="42" customHeight="1">
      <c r="A269" s="2" t="s">
        <v>808</v>
      </c>
      <c r="B269" s="2" t="s">
        <v>809</v>
      </c>
      <c r="C269" s="2" t="s">
        <v>80</v>
      </c>
      <c r="D269" s="2" t="s">
        <v>81</v>
      </c>
      <c r="E269" s="5">
        <v>-29225</v>
      </c>
      <c r="F269" s="3" t="s">
        <v>472</v>
      </c>
      <c r="G269" s="3" t="s">
        <v>38</v>
      </c>
      <c r="H269" s="2" t="s">
        <v>65</v>
      </c>
      <c r="I269" s="2" t="s">
        <v>811</v>
      </c>
      <c r="J269" s="3" t="str">
        <f>HYPERLINK("https://www.boe.es/gazeta/dias/1819/12/25/pdfs/GMD-1819-158.pdf#page=5","Abrir facsímil")</f>
        <v>Abrir facsímil</v>
      </c>
      <c r="K269" s="3" t="s">
        <v>67</v>
      </c>
    </row>
    <row r="270" spans="1:11" ht="42" customHeight="1">
      <c r="A270" s="2" t="s">
        <v>812</v>
      </c>
      <c r="B270" s="2" t="s">
        <v>813</v>
      </c>
      <c r="C270" s="2" t="s">
        <v>80</v>
      </c>
      <c r="D270" s="2" t="s">
        <v>81</v>
      </c>
      <c r="E270" s="5">
        <v>-29582</v>
      </c>
      <c r="F270" s="3" t="s">
        <v>376</v>
      </c>
      <c r="G270" s="3" t="s">
        <v>544</v>
      </c>
      <c r="H270" s="2" t="s">
        <v>65</v>
      </c>
      <c r="I270" s="2" t="s">
        <v>814</v>
      </c>
      <c r="J270" s="3" t="str">
        <f>HYPERLINK("https://www.boe.es/gazeta/dias/1819/01/02/pdfs/GMD-1819-1.pdf#page=6","Abrir facsímil")</f>
        <v>Abrir facsímil</v>
      </c>
      <c r="K270" s="3" t="s">
        <v>67</v>
      </c>
    </row>
    <row r="271" spans="1:11" ht="42" customHeight="1">
      <c r="A271" s="2" t="s">
        <v>815</v>
      </c>
      <c r="B271" s="2" t="s">
        <v>816</v>
      </c>
      <c r="C271" s="2" t="s">
        <v>80</v>
      </c>
      <c r="D271" s="2" t="s">
        <v>81</v>
      </c>
      <c r="E271" s="5">
        <v>-29579</v>
      </c>
      <c r="F271" s="3" t="s">
        <v>186</v>
      </c>
      <c r="G271" s="3" t="s">
        <v>55</v>
      </c>
      <c r="H271" s="2" t="s">
        <v>65</v>
      </c>
      <c r="I271" s="2" t="s">
        <v>817</v>
      </c>
      <c r="J271" s="3" t="str">
        <f>HYPERLINK("https://www.boe.es/gazeta/dias/1819/01/05/pdfs/GMD-1819-2.pdf#page=7","Abrir facsímil")</f>
        <v>Abrir facsímil</v>
      </c>
      <c r="K271" s="3" t="s">
        <v>67</v>
      </c>
    </row>
    <row r="272" spans="1:11" ht="42" customHeight="1">
      <c r="A272" s="2" t="s">
        <v>818</v>
      </c>
      <c r="B272" s="2" t="s">
        <v>819</v>
      </c>
      <c r="C272" s="2" t="s">
        <v>63</v>
      </c>
      <c r="D272" s="2" t="s">
        <v>43</v>
      </c>
      <c r="E272" s="5">
        <v>-29281</v>
      </c>
      <c r="F272" s="3" t="s">
        <v>19</v>
      </c>
      <c r="G272" s="3" t="s">
        <v>456</v>
      </c>
      <c r="H272" s="2" t="s">
        <v>65</v>
      </c>
      <c r="I272" s="2" t="s">
        <v>820</v>
      </c>
      <c r="J272" s="3" t="str">
        <f>HYPERLINK("https://www.boe.es/gazeta/dias/1819/10/30/pdfs/GMD-1819-134.pdf#page=9","Abrir facsímil")</f>
        <v>Abrir facsímil</v>
      </c>
      <c r="K272" s="3" t="s">
        <v>67</v>
      </c>
    </row>
    <row r="273" spans="1:11" ht="42" customHeight="1">
      <c r="A273" s="2" t="s">
        <v>821</v>
      </c>
      <c r="B273" s="2" t="s">
        <v>822</v>
      </c>
      <c r="C273" s="2" t="s">
        <v>80</v>
      </c>
      <c r="D273" s="2" t="s">
        <v>81</v>
      </c>
      <c r="E273" s="5">
        <v>-29369</v>
      </c>
      <c r="F273" s="3" t="s">
        <v>231</v>
      </c>
      <c r="G273" s="3" t="s">
        <v>55</v>
      </c>
      <c r="H273" s="2" t="s">
        <v>65</v>
      </c>
      <c r="I273" s="2" t="s">
        <v>823</v>
      </c>
      <c r="J273" s="3" t="str">
        <f>HYPERLINK("https://www.boe.es/gazeta/dias/1819/08/03/pdfs/GMD-1819-93.pdf#page=7","Abrir facsímil")</f>
        <v>Abrir facsímil</v>
      </c>
      <c r="K273" s="3" t="s">
        <v>67</v>
      </c>
    </row>
    <row r="274" spans="1:11" ht="42" customHeight="1">
      <c r="A274" s="2" t="s">
        <v>824</v>
      </c>
      <c r="B274" s="2" t="s">
        <v>825</v>
      </c>
      <c r="C274" s="2" t="s">
        <v>63</v>
      </c>
      <c r="D274" s="2" t="s">
        <v>43</v>
      </c>
      <c r="E274" s="5">
        <v>-29257</v>
      </c>
      <c r="F274" s="3" t="s">
        <v>73</v>
      </c>
      <c r="G274" s="3" t="s">
        <v>826</v>
      </c>
      <c r="H274" s="2" t="s">
        <v>65</v>
      </c>
      <c r="I274" s="2" t="s">
        <v>827</v>
      </c>
      <c r="J274" s="3" t="str">
        <f>HYPERLINK("https://www.boe.es/gazeta/dias/1819/11/23/pdfs/GMD-1819-144.pdf#page=11","Abrir facsímil")</f>
        <v>Abrir facsímil</v>
      </c>
      <c r="K274" s="3" t="s">
        <v>67</v>
      </c>
    </row>
    <row r="275" spans="1:11" ht="42" customHeight="1">
      <c r="A275" s="2" t="s">
        <v>828</v>
      </c>
      <c r="B275" s="2" t="s">
        <v>829</v>
      </c>
      <c r="C275" s="2" t="s">
        <v>80</v>
      </c>
      <c r="D275" s="2" t="s">
        <v>81</v>
      </c>
      <c r="E275" s="5">
        <v>-29390</v>
      </c>
      <c r="F275" s="3" t="s">
        <v>263</v>
      </c>
      <c r="G275" s="3" t="s">
        <v>296</v>
      </c>
      <c r="H275" s="2" t="s">
        <v>65</v>
      </c>
      <c r="I275" s="2" t="s">
        <v>830</v>
      </c>
      <c r="J275" s="3" t="str">
        <f>HYPERLINK("https://www.boe.es/gazeta/dias/1819/07/13/pdfs/GMD-1819-84.pdf#page=4","Abrir facsímil")</f>
        <v>Abrir facsímil</v>
      </c>
      <c r="K275" s="3" t="s">
        <v>67</v>
      </c>
    </row>
    <row r="276" spans="1:11" ht="42" customHeight="1">
      <c r="A276" s="2" t="s">
        <v>831</v>
      </c>
      <c r="B276" s="2" t="s">
        <v>832</v>
      </c>
      <c r="C276" s="2" t="s">
        <v>63</v>
      </c>
      <c r="D276" s="2" t="s">
        <v>43</v>
      </c>
      <c r="E276" s="5">
        <v>-29472</v>
      </c>
      <c r="F276" s="3" t="s">
        <v>393</v>
      </c>
      <c r="G276" s="3" t="s">
        <v>33</v>
      </c>
      <c r="H276" s="2" t="s">
        <v>65</v>
      </c>
      <c r="I276" s="2" t="s">
        <v>833</v>
      </c>
      <c r="J276" s="3" t="str">
        <f>HYPERLINK("https://www.boe.es/gazeta/dias/1819/04/22/pdfs/GMD-1819-48.pdf#page=6","Abrir facsímil")</f>
        <v>Abrir facsímil</v>
      </c>
      <c r="K276" s="3" t="s">
        <v>67</v>
      </c>
    </row>
    <row r="277" spans="1:11" ht="42" customHeight="1">
      <c r="A277" s="2" t="s">
        <v>834</v>
      </c>
      <c r="B277" s="2" t="s">
        <v>835</v>
      </c>
      <c r="C277" s="2" t="s">
        <v>80</v>
      </c>
      <c r="D277" s="2" t="s">
        <v>81</v>
      </c>
      <c r="E277" s="5">
        <v>-29239</v>
      </c>
      <c r="F277" s="3" t="s">
        <v>724</v>
      </c>
      <c r="G277" s="3" t="s">
        <v>28</v>
      </c>
      <c r="H277" s="2" t="s">
        <v>21</v>
      </c>
      <c r="I277" s="2" t="s">
        <v>836</v>
      </c>
      <c r="J277" s="3" t="str">
        <f>HYPERLINK("https://www.boe.es/gazeta/dias/1819/12/11/pdfs/GMD-1819-152.pdf#page=8","Abrir facsímil")</f>
        <v>Abrir facsímil</v>
      </c>
      <c r="K277" s="3" t="s">
        <v>23</v>
      </c>
    </row>
    <row r="278" spans="1:11" ht="42" customHeight="1">
      <c r="A278" s="2" t="s">
        <v>837</v>
      </c>
      <c r="B278" s="2" t="s">
        <v>838</v>
      </c>
      <c r="C278" s="2" t="s">
        <v>26</v>
      </c>
      <c r="D278" s="2" t="s">
        <v>18</v>
      </c>
      <c r="E278" s="5">
        <v>-29232</v>
      </c>
      <c r="F278" s="3" t="s">
        <v>752</v>
      </c>
      <c r="G278" s="3" t="s">
        <v>839</v>
      </c>
      <c r="H278" s="2" t="s">
        <v>21</v>
      </c>
      <c r="I278" s="2" t="s">
        <v>840</v>
      </c>
      <c r="J278" s="3" t="str">
        <f>HYPERLINK("https://www.boe.es/gazeta/dias/1819/12/18/pdfs/GMD-1819-155.pdf#page=8","Abrir facsímil")</f>
        <v>Abrir facsímil</v>
      </c>
      <c r="K278" s="3" t="s">
        <v>23</v>
      </c>
    </row>
    <row r="279" spans="1:11" ht="42" customHeight="1">
      <c r="A279" s="2" t="s">
        <v>841</v>
      </c>
      <c r="B279" s="2" t="s">
        <v>842</v>
      </c>
      <c r="C279" s="2" t="s">
        <v>80</v>
      </c>
      <c r="D279" s="2" t="s">
        <v>81</v>
      </c>
      <c r="E279" s="5">
        <v>-29516</v>
      </c>
      <c r="F279" s="3" t="s">
        <v>137</v>
      </c>
      <c r="G279" s="3" t="s">
        <v>138</v>
      </c>
      <c r="H279" s="2" t="s">
        <v>65</v>
      </c>
      <c r="I279" s="2" t="s">
        <v>843</v>
      </c>
      <c r="J279" s="3" t="str">
        <f>HYPERLINK("https://www.boe.es/gazeta/dias/1819/03/09/pdfs/GMD-1819-29.pdf#page=12","Abrir facsímil")</f>
        <v>Abrir facsímil</v>
      </c>
      <c r="K279" s="3" t="s">
        <v>67</v>
      </c>
    </row>
    <row r="280" spans="1:11" ht="42" customHeight="1">
      <c r="A280" s="2" t="s">
        <v>841</v>
      </c>
      <c r="B280" s="2" t="s">
        <v>842</v>
      </c>
      <c r="C280" s="2" t="s">
        <v>63</v>
      </c>
      <c r="D280" s="2" t="s">
        <v>43</v>
      </c>
      <c r="E280" s="5">
        <v>-29306</v>
      </c>
      <c r="F280" s="3" t="s">
        <v>303</v>
      </c>
      <c r="G280" s="3" t="s">
        <v>28</v>
      </c>
      <c r="H280" s="2" t="s">
        <v>65</v>
      </c>
      <c r="I280" s="2" t="s">
        <v>844</v>
      </c>
      <c r="J280" s="3" t="str">
        <f>HYPERLINK("https://www.boe.es/gazeta/dias/1819/10/05/pdfs/GMD-1819-122.pdf#page=8","Abrir facsímil")</f>
        <v>Abrir facsímil</v>
      </c>
      <c r="K280" s="3" t="s">
        <v>67</v>
      </c>
    </row>
    <row r="281" spans="1:11" ht="42" customHeight="1">
      <c r="A281" s="2" t="s">
        <v>841</v>
      </c>
      <c r="B281" s="2" t="s">
        <v>842</v>
      </c>
      <c r="C281" s="2" t="s">
        <v>63</v>
      </c>
      <c r="D281" s="2" t="s">
        <v>43</v>
      </c>
      <c r="E281" s="5">
        <v>-29222</v>
      </c>
      <c r="F281" s="3" t="s">
        <v>338</v>
      </c>
      <c r="G281" s="3" t="s">
        <v>339</v>
      </c>
      <c r="H281" s="2" t="s">
        <v>65</v>
      </c>
      <c r="I281" s="2" t="s">
        <v>845</v>
      </c>
      <c r="J281" s="3" t="str">
        <f>HYPERLINK("https://www.boe.es/gazeta/dias/1819/12/28/pdfs/GMD-1819-159.pdf#page=8","Abrir facsímil")</f>
        <v>Abrir facsímil</v>
      </c>
      <c r="K281" s="3" t="s">
        <v>67</v>
      </c>
    </row>
    <row r="282" spans="1:11" ht="42" customHeight="1">
      <c r="A282" s="2" t="s">
        <v>841</v>
      </c>
      <c r="B282" s="2" t="s">
        <v>842</v>
      </c>
      <c r="C282" s="2" t="s">
        <v>63</v>
      </c>
      <c r="D282" s="2" t="s">
        <v>43</v>
      </c>
      <c r="E282" s="5">
        <v>-29220</v>
      </c>
      <c r="F282" s="3" t="s">
        <v>397</v>
      </c>
      <c r="G282" s="3" t="s">
        <v>28</v>
      </c>
      <c r="H282" s="2" t="s">
        <v>65</v>
      </c>
      <c r="I282" s="2" t="s">
        <v>846</v>
      </c>
      <c r="J282" s="3" t="str">
        <f>HYPERLINK("https://www.boe.es/gazeta/dias/1819/12/30/pdfs/GMD-1819-160.pdf#page=8","Abrir facsímil")</f>
        <v>Abrir facsímil</v>
      </c>
      <c r="K282" s="3" t="s">
        <v>67</v>
      </c>
    </row>
    <row r="283" spans="1:11" ht="42" customHeight="1">
      <c r="A283" s="2" t="s">
        <v>847</v>
      </c>
      <c r="B283" s="2" t="s">
        <v>848</v>
      </c>
      <c r="C283" s="2" t="s">
        <v>63</v>
      </c>
      <c r="D283" s="2" t="s">
        <v>43</v>
      </c>
      <c r="E283" s="5">
        <v>-29316</v>
      </c>
      <c r="F283" s="3" t="s">
        <v>166</v>
      </c>
      <c r="G283" s="3" t="s">
        <v>28</v>
      </c>
      <c r="H283" s="2" t="s">
        <v>65</v>
      </c>
      <c r="I283" s="2" t="s">
        <v>849</v>
      </c>
      <c r="J283" s="3" t="str">
        <f>HYPERLINK("https://www.boe.es/gazeta/dias/1819/09/25/pdfs/GMD-1819-118.pdf#page=8","Abrir facsímil")</f>
        <v>Abrir facsímil</v>
      </c>
      <c r="K283" s="3" t="s">
        <v>67</v>
      </c>
    </row>
    <row r="284" spans="1:11" ht="42" customHeight="1">
      <c r="A284" s="2" t="s">
        <v>850</v>
      </c>
      <c r="B284" s="2" t="s">
        <v>851</v>
      </c>
      <c r="C284" s="2" t="s">
        <v>59</v>
      </c>
      <c r="D284" s="2" t="s">
        <v>18</v>
      </c>
      <c r="E284" s="5">
        <v>-29358</v>
      </c>
      <c r="F284" s="3" t="s">
        <v>170</v>
      </c>
      <c r="G284" s="3" t="s">
        <v>38</v>
      </c>
      <c r="H284" s="2" t="s">
        <v>65</v>
      </c>
      <c r="I284" s="2" t="s">
        <v>852</v>
      </c>
      <c r="J284" s="3" t="str">
        <f>HYPERLINK("https://www.boe.es/gazeta/dias/1819/08/14/pdfs/GMD-1819-98.pdf#page=5","Abrir facsímil")</f>
        <v>Abrir facsímil</v>
      </c>
      <c r="K284" s="3" t="s">
        <v>67</v>
      </c>
    </row>
    <row r="285" spans="1:11" ht="42" customHeight="1">
      <c r="A285" s="2" t="s">
        <v>853</v>
      </c>
      <c r="B285" s="2" t="s">
        <v>854</v>
      </c>
      <c r="C285" s="2" t="s">
        <v>63</v>
      </c>
      <c r="D285" s="2" t="s">
        <v>43</v>
      </c>
      <c r="E285" s="5">
        <v>-29514</v>
      </c>
      <c r="F285" s="3" t="s">
        <v>595</v>
      </c>
      <c r="G285" s="3" t="s">
        <v>55</v>
      </c>
      <c r="H285" s="2" t="s">
        <v>65</v>
      </c>
      <c r="I285" s="2" t="s">
        <v>855</v>
      </c>
      <c r="J285" s="3" t="str">
        <f>HYPERLINK("https://www.boe.es/gazeta/dias/1819/03/11/pdfs/GMD-1819-30.pdf#page=7","Abrir facsímil")</f>
        <v>Abrir facsímil</v>
      </c>
      <c r="K285" s="3" t="s">
        <v>67</v>
      </c>
    </row>
    <row r="286" spans="1:11" ht="42" customHeight="1">
      <c r="A286" s="2" t="s">
        <v>856</v>
      </c>
      <c r="B286" s="2" t="s">
        <v>857</v>
      </c>
      <c r="C286" s="2" t="s">
        <v>59</v>
      </c>
      <c r="D286" s="2" t="s">
        <v>18</v>
      </c>
      <c r="E286" s="5">
        <v>-29316</v>
      </c>
      <c r="F286" s="3" t="s">
        <v>166</v>
      </c>
      <c r="G286" s="3" t="s">
        <v>28</v>
      </c>
      <c r="H286" s="2" t="s">
        <v>65</v>
      </c>
      <c r="I286" s="2" t="s">
        <v>858</v>
      </c>
      <c r="J286" s="3" t="str">
        <f>HYPERLINK("https://www.boe.es/gazeta/dias/1819/09/25/pdfs/GMD-1819-118.pdf#page=8","Abrir facsímil")</f>
        <v>Abrir facsímil</v>
      </c>
      <c r="K286" s="3" t="s">
        <v>67</v>
      </c>
    </row>
    <row r="287" spans="1:11" ht="42" customHeight="1">
      <c r="A287" s="2" t="s">
        <v>859</v>
      </c>
      <c r="B287" s="2" t="s">
        <v>860</v>
      </c>
      <c r="C287" s="2" t="s">
        <v>26</v>
      </c>
      <c r="D287" s="2" t="s">
        <v>18</v>
      </c>
      <c r="E287" s="5">
        <v>-29449</v>
      </c>
      <c r="F287" s="3" t="s">
        <v>771</v>
      </c>
      <c r="G287" s="3" t="s">
        <v>28</v>
      </c>
      <c r="H287" s="2" t="s">
        <v>65</v>
      </c>
      <c r="I287" s="2" t="s">
        <v>861</v>
      </c>
      <c r="J287" s="3" t="str">
        <f>HYPERLINK("https://www.boe.es/gazeta/dias/1819/05/15/pdfs/GMD-1819-58.pdf#page=8","Abrir facsímil")</f>
        <v>Abrir facsímil</v>
      </c>
      <c r="K287" s="3" t="s">
        <v>67</v>
      </c>
    </row>
    <row r="288" spans="1:11" ht="42" customHeight="1">
      <c r="A288" s="2" t="s">
        <v>862</v>
      </c>
      <c r="B288" s="2" t="s">
        <v>862</v>
      </c>
      <c r="C288" s="2" t="s">
        <v>63</v>
      </c>
      <c r="D288" s="2" t="s">
        <v>43</v>
      </c>
      <c r="E288" s="5">
        <v>-29283</v>
      </c>
      <c r="F288" s="3" t="s">
        <v>863</v>
      </c>
      <c r="G288" s="3" t="s">
        <v>296</v>
      </c>
      <c r="H288" s="2" t="s">
        <v>65</v>
      </c>
      <c r="I288" s="2" t="s">
        <v>864</v>
      </c>
      <c r="J288" s="3" t="str">
        <f>HYPERLINK("https://www.boe.es/gazeta/dias/1819/10/28/pdfs/GMD-1819-133.pdf#page=4","Abrir facsímil")</f>
        <v>Abrir facsímil</v>
      </c>
      <c r="K288" s="3" t="s">
        <v>67</v>
      </c>
    </row>
    <row r="289" spans="1:11" ht="42" customHeight="1">
      <c r="A289" s="2" t="s">
        <v>865</v>
      </c>
      <c r="B289" s="2" t="s">
        <v>866</v>
      </c>
      <c r="C289" s="2" t="s">
        <v>80</v>
      </c>
      <c r="D289" s="2" t="s">
        <v>81</v>
      </c>
      <c r="E289" s="5">
        <v>-29353</v>
      </c>
      <c r="F289" s="3" t="s">
        <v>867</v>
      </c>
      <c r="G289" s="3" t="s">
        <v>868</v>
      </c>
      <c r="H289" s="2" t="s">
        <v>65</v>
      </c>
      <c r="I289" s="2" t="s">
        <v>869</v>
      </c>
      <c r="J289" s="3" t="str">
        <f>HYPERLINK("https://www.boe.es/gazeta/dias/1819/08/19/pdfs/GMD-1819-100.pdf#page=5","Abrir facsímil")</f>
        <v>Abrir facsímil</v>
      </c>
      <c r="K289" s="3" t="s">
        <v>67</v>
      </c>
    </row>
    <row r="290" spans="1:11" ht="42" customHeight="1">
      <c r="A290" s="2" t="s">
        <v>870</v>
      </c>
      <c r="B290" s="2" t="s">
        <v>871</v>
      </c>
      <c r="C290" s="2" t="s">
        <v>80</v>
      </c>
      <c r="D290" s="2" t="s">
        <v>81</v>
      </c>
      <c r="E290" s="5">
        <v>-29414</v>
      </c>
      <c r="F290" s="3" t="s">
        <v>732</v>
      </c>
      <c r="G290" s="3" t="s">
        <v>28</v>
      </c>
      <c r="H290" s="2" t="s">
        <v>65</v>
      </c>
      <c r="I290" s="2" t="s">
        <v>872</v>
      </c>
      <c r="J290" s="3" t="str">
        <f>HYPERLINK("https://www.boe.es/gazeta/dias/1819/06/19/pdfs/GMD-1819-74.pdf#page=8","Abrir facsímil")</f>
        <v>Abrir facsímil</v>
      </c>
      <c r="K290" s="3" t="s">
        <v>67</v>
      </c>
    </row>
    <row r="291" spans="1:11" ht="42" customHeight="1">
      <c r="A291" s="2" t="s">
        <v>873</v>
      </c>
      <c r="B291" s="2" t="s">
        <v>874</v>
      </c>
      <c r="C291" s="2" t="s">
        <v>59</v>
      </c>
      <c r="D291" s="2" t="s">
        <v>18</v>
      </c>
      <c r="E291" s="5">
        <v>-29292</v>
      </c>
      <c r="F291" s="3" t="s">
        <v>875</v>
      </c>
      <c r="G291" s="3" t="s">
        <v>28</v>
      </c>
      <c r="H291" s="2" t="s">
        <v>65</v>
      </c>
      <c r="I291" s="2" t="s">
        <v>876</v>
      </c>
      <c r="J291" s="3" t="str">
        <f>HYPERLINK("https://www.boe.es/gazeta/dias/1819/10/19/pdfs/GMD-1819-128.pdf#page=8","Abrir facsímil")</f>
        <v>Abrir facsímil</v>
      </c>
      <c r="K291" s="3" t="s">
        <v>67</v>
      </c>
    </row>
    <row r="292" spans="1:11" ht="42" customHeight="1">
      <c r="A292" s="2" t="s">
        <v>877</v>
      </c>
      <c r="B292" s="2" t="s">
        <v>878</v>
      </c>
      <c r="C292" s="2" t="s">
        <v>136</v>
      </c>
      <c r="D292" s="2" t="s">
        <v>18</v>
      </c>
      <c r="E292" s="5">
        <v>-29388</v>
      </c>
      <c r="F292" s="3" t="s">
        <v>879</v>
      </c>
      <c r="G292" s="3" t="s">
        <v>28</v>
      </c>
      <c r="H292" s="2" t="s">
        <v>65</v>
      </c>
      <c r="I292" s="2" t="s">
        <v>880</v>
      </c>
      <c r="J292" s="3" t="str">
        <f>HYPERLINK("https://www.boe.es/gazeta/dias/1819/07/15/pdfs/GMD-1819-85.pdf#page=8","Abrir facsímil")</f>
        <v>Abrir facsímil</v>
      </c>
      <c r="K292" s="3" t="s">
        <v>67</v>
      </c>
    </row>
    <row r="293" spans="1:11" ht="42" customHeight="1">
      <c r="A293" s="2" t="s">
        <v>881</v>
      </c>
      <c r="B293" s="2" t="s">
        <v>882</v>
      </c>
      <c r="C293" s="2" t="s">
        <v>26</v>
      </c>
      <c r="D293" s="2" t="s">
        <v>18</v>
      </c>
      <c r="E293" s="5">
        <v>-29554</v>
      </c>
      <c r="F293" s="3" t="s">
        <v>150</v>
      </c>
      <c r="G293" s="3" t="s">
        <v>28</v>
      </c>
      <c r="H293" s="2" t="s">
        <v>65</v>
      </c>
      <c r="I293" s="2" t="s">
        <v>883</v>
      </c>
      <c r="J293" s="3" t="str">
        <f>HYPERLINK("https://www.boe.es/gazeta/dias/1819/01/30/pdfs/GMD-1819-13.pdf#page=8","Abrir facsímil")</f>
        <v>Abrir facsímil</v>
      </c>
      <c r="K293" s="3" t="s">
        <v>67</v>
      </c>
    </row>
    <row r="294" spans="1:11" ht="42" customHeight="1">
      <c r="A294" s="2" t="s">
        <v>881</v>
      </c>
      <c r="B294" s="2" t="s">
        <v>882</v>
      </c>
      <c r="C294" s="2" t="s">
        <v>63</v>
      </c>
      <c r="D294" s="2" t="s">
        <v>43</v>
      </c>
      <c r="E294" s="5">
        <v>-29414</v>
      </c>
      <c r="F294" s="3" t="s">
        <v>732</v>
      </c>
      <c r="G294" s="3" t="s">
        <v>33</v>
      </c>
      <c r="H294" s="2" t="s">
        <v>65</v>
      </c>
      <c r="I294" s="2" t="s">
        <v>884</v>
      </c>
      <c r="J294" s="3" t="str">
        <f>HYPERLINK("https://www.boe.es/gazeta/dias/1819/06/19/pdfs/GMD-1819-74.pdf#page=6","Abrir facsímil")</f>
        <v>Abrir facsímil</v>
      </c>
      <c r="K294" s="3" t="s">
        <v>67</v>
      </c>
    </row>
    <row r="295" spans="1:11" ht="42" customHeight="1">
      <c r="A295" s="2" t="s">
        <v>885</v>
      </c>
      <c r="B295" s="2" t="s">
        <v>886</v>
      </c>
      <c r="C295" s="2" t="s">
        <v>63</v>
      </c>
      <c r="D295" s="2" t="s">
        <v>43</v>
      </c>
      <c r="E295" s="5">
        <v>-29311</v>
      </c>
      <c r="F295" s="3" t="s">
        <v>678</v>
      </c>
      <c r="G295" s="3" t="s">
        <v>28</v>
      </c>
      <c r="H295" s="2" t="s">
        <v>65</v>
      </c>
      <c r="I295" s="2" t="s">
        <v>887</v>
      </c>
      <c r="J295" s="3" t="str">
        <f>HYPERLINK("https://www.boe.es/gazeta/dias/1819/09/30/pdfs/GMD-1819-120.pdf#page=8","Abrir facsímil")</f>
        <v>Abrir facsímil</v>
      </c>
      <c r="K295" s="3" t="s">
        <v>67</v>
      </c>
    </row>
    <row r="296" spans="1:11" ht="42" customHeight="1">
      <c r="A296" s="2" t="s">
        <v>888</v>
      </c>
      <c r="B296" s="2" t="s">
        <v>889</v>
      </c>
      <c r="C296" s="2" t="s">
        <v>59</v>
      </c>
      <c r="D296" s="2" t="s">
        <v>18</v>
      </c>
      <c r="E296" s="5">
        <v>-29365</v>
      </c>
      <c r="F296" s="3" t="s">
        <v>218</v>
      </c>
      <c r="G296" s="3" t="s">
        <v>490</v>
      </c>
      <c r="H296" s="2" t="s">
        <v>65</v>
      </c>
      <c r="I296" s="2" t="s">
        <v>890</v>
      </c>
      <c r="J296" s="3" t="str">
        <f>HYPERLINK("https://www.boe.es/gazeta/dias/1819/08/07/pdfs/GMD-1819-95.pdf#page=6","Abrir facsímil")</f>
        <v>Abrir facsímil</v>
      </c>
      <c r="K296" s="3" t="s">
        <v>67</v>
      </c>
    </row>
    <row r="297" spans="1:11" ht="42" customHeight="1">
      <c r="A297" s="2" t="s">
        <v>891</v>
      </c>
      <c r="B297" s="2" t="s">
        <v>892</v>
      </c>
      <c r="C297" s="2" t="s">
        <v>80</v>
      </c>
      <c r="D297" s="2" t="s">
        <v>81</v>
      </c>
      <c r="E297" s="5">
        <v>-29239</v>
      </c>
      <c r="F297" s="3" t="s">
        <v>724</v>
      </c>
      <c r="G297" s="3" t="s">
        <v>28</v>
      </c>
      <c r="H297" s="2" t="s">
        <v>65</v>
      </c>
      <c r="I297" s="2" t="s">
        <v>893</v>
      </c>
      <c r="J297" s="3" t="str">
        <f>HYPERLINK("https://www.boe.es/gazeta/dias/1819/12/11/pdfs/GMD-1819-152.pdf#page=8","Abrir facsímil")</f>
        <v>Abrir facsímil</v>
      </c>
      <c r="K297" s="3" t="s">
        <v>67</v>
      </c>
    </row>
    <row r="298" spans="1:11" ht="42" customHeight="1">
      <c r="A298" s="2" t="s">
        <v>894</v>
      </c>
      <c r="B298" s="2" t="s">
        <v>895</v>
      </c>
      <c r="C298" s="2" t="s">
        <v>63</v>
      </c>
      <c r="D298" s="2" t="s">
        <v>43</v>
      </c>
      <c r="E298" s="5">
        <v>-29572</v>
      </c>
      <c r="F298" s="3" t="s">
        <v>589</v>
      </c>
      <c r="G298" s="3" t="s">
        <v>590</v>
      </c>
      <c r="H298" s="2" t="s">
        <v>21</v>
      </c>
      <c r="I298" s="2" t="s">
        <v>896</v>
      </c>
      <c r="J298" s="3" t="str">
        <f>HYPERLINK("https://www.boe.es/gazeta/dias/1819/01/12/pdfs/GMD-1819-5.pdf#page=8","Abrir facsímil")</f>
        <v>Abrir facsímil</v>
      </c>
      <c r="K298" s="3" t="s">
        <v>23</v>
      </c>
    </row>
    <row r="299" spans="1:11" ht="42" customHeight="1">
      <c r="A299" s="2" t="s">
        <v>897</v>
      </c>
      <c r="B299" s="2" t="s">
        <v>898</v>
      </c>
      <c r="C299" s="2" t="s">
        <v>63</v>
      </c>
      <c r="D299" s="2" t="s">
        <v>43</v>
      </c>
      <c r="E299" s="5">
        <v>-29572</v>
      </c>
      <c r="F299" s="3" t="s">
        <v>589</v>
      </c>
      <c r="G299" s="3" t="s">
        <v>590</v>
      </c>
      <c r="H299" s="2" t="s">
        <v>21</v>
      </c>
      <c r="I299" s="2" t="s">
        <v>899</v>
      </c>
      <c r="J299" s="3" t="str">
        <f>HYPERLINK("https://www.boe.es/gazeta/dias/1819/01/12/pdfs/GMD-1819-5.pdf#page=8","Abrir facsímil")</f>
        <v>Abrir facsímil</v>
      </c>
      <c r="K299" s="3" t="s">
        <v>23</v>
      </c>
    </row>
    <row r="300" spans="1:11" ht="42" customHeight="1">
      <c r="A300" s="2" t="s">
        <v>900</v>
      </c>
      <c r="B300" s="2" t="s">
        <v>901</v>
      </c>
      <c r="C300" s="2" t="s">
        <v>63</v>
      </c>
      <c r="D300" s="2" t="s">
        <v>43</v>
      </c>
      <c r="E300" s="5">
        <v>-29281</v>
      </c>
      <c r="F300" s="3" t="s">
        <v>19</v>
      </c>
      <c r="G300" s="3" t="s">
        <v>38</v>
      </c>
      <c r="H300" s="2" t="s">
        <v>65</v>
      </c>
      <c r="I300" s="2" t="s">
        <v>902</v>
      </c>
      <c r="J300" s="3" t="str">
        <f>HYPERLINK("https://www.boe.es/gazeta/dias/1819/10/30/pdfs/GMD-1819-134.pdf#page=5","Abrir facsímil")</f>
        <v>Abrir facsímil</v>
      </c>
      <c r="K300" s="3" t="s">
        <v>67</v>
      </c>
    </row>
    <row r="301" spans="1:11" ht="42" customHeight="1">
      <c r="A301" s="2" t="s">
        <v>903</v>
      </c>
      <c r="B301" s="2" t="s">
        <v>903</v>
      </c>
      <c r="C301" s="2" t="s">
        <v>80</v>
      </c>
      <c r="D301" s="2" t="s">
        <v>81</v>
      </c>
      <c r="E301" s="5">
        <v>-29346</v>
      </c>
      <c r="F301" s="3" t="s">
        <v>718</v>
      </c>
      <c r="G301" s="3" t="s">
        <v>55</v>
      </c>
      <c r="H301" s="2" t="s">
        <v>65</v>
      </c>
      <c r="I301" s="2" t="s">
        <v>904</v>
      </c>
      <c r="J301" s="3" t="str">
        <f>HYPERLINK("https://www.boe.es/gazeta/dias/1819/08/26/pdfs/GMD-1819-103.pdf#page=7","Abrir facsímil")</f>
        <v>Abrir facsímil</v>
      </c>
      <c r="K301" s="3" t="s">
        <v>67</v>
      </c>
    </row>
    <row r="302" spans="1:11" ht="42" customHeight="1">
      <c r="A302" s="2" t="s">
        <v>905</v>
      </c>
      <c r="B302" s="2" t="s">
        <v>906</v>
      </c>
      <c r="C302" s="2" t="s">
        <v>80</v>
      </c>
      <c r="D302" s="2" t="s">
        <v>81</v>
      </c>
      <c r="E302" s="5">
        <v>-29346</v>
      </c>
      <c r="F302" s="3" t="s">
        <v>718</v>
      </c>
      <c r="G302" s="3" t="s">
        <v>55</v>
      </c>
      <c r="H302" s="2" t="s">
        <v>65</v>
      </c>
      <c r="I302" s="2" t="s">
        <v>907</v>
      </c>
      <c r="J302" s="3" t="str">
        <f>HYPERLINK("https://www.boe.es/gazeta/dias/1819/08/26/pdfs/GMD-1819-103.pdf#page=7","Abrir facsímil")</f>
        <v>Abrir facsímil</v>
      </c>
      <c r="K302" s="3" t="s">
        <v>67</v>
      </c>
    </row>
    <row r="303" spans="1:11" ht="42" customHeight="1">
      <c r="A303" s="2" t="s">
        <v>908</v>
      </c>
      <c r="B303" s="2" t="s">
        <v>909</v>
      </c>
      <c r="C303" s="2" t="s">
        <v>63</v>
      </c>
      <c r="D303" s="2" t="s">
        <v>43</v>
      </c>
      <c r="E303" s="5">
        <v>-29281</v>
      </c>
      <c r="F303" s="3" t="s">
        <v>19</v>
      </c>
      <c r="G303" s="3" t="s">
        <v>28</v>
      </c>
      <c r="H303" s="2" t="s">
        <v>65</v>
      </c>
      <c r="I303" s="2" t="s">
        <v>910</v>
      </c>
      <c r="J303" s="3" t="str">
        <f>HYPERLINK("https://www.boe.es/gazeta/dias/1819/10/30/pdfs/GMD-1819-134.pdf#page=8","Abrir facsímil")</f>
        <v>Abrir facsímil</v>
      </c>
      <c r="K303" s="3" t="s">
        <v>67</v>
      </c>
    </row>
    <row r="304" spans="1:11" ht="42" customHeight="1">
      <c r="A304" s="2" t="s">
        <v>911</v>
      </c>
      <c r="B304" s="2" t="s">
        <v>912</v>
      </c>
      <c r="C304" s="2" t="s">
        <v>80</v>
      </c>
      <c r="D304" s="2" t="s">
        <v>81</v>
      </c>
      <c r="E304" s="5">
        <v>-29512</v>
      </c>
      <c r="F304" s="3" t="s">
        <v>741</v>
      </c>
      <c r="G304" s="3" t="s">
        <v>28</v>
      </c>
      <c r="H304" s="2" t="s">
        <v>65</v>
      </c>
      <c r="I304" s="2" t="s">
        <v>913</v>
      </c>
      <c r="J304" s="3" t="str">
        <f>HYPERLINK("https://www.boe.es/gazeta/dias/1819/03/13/pdfs/GMD-1819-31.pdf#page=8","Abrir facsímil")</f>
        <v>Abrir facsímil</v>
      </c>
      <c r="K304" s="3" t="s">
        <v>67</v>
      </c>
    </row>
    <row r="305" spans="1:11" ht="42" customHeight="1">
      <c r="A305" s="2" t="s">
        <v>911</v>
      </c>
      <c r="B305" s="2" t="s">
        <v>912</v>
      </c>
      <c r="C305" s="2" t="s">
        <v>80</v>
      </c>
      <c r="D305" s="2" t="s">
        <v>454</v>
      </c>
      <c r="E305" s="5">
        <v>-29324</v>
      </c>
      <c r="F305" s="3" t="s">
        <v>914</v>
      </c>
      <c r="G305" s="3" t="s">
        <v>102</v>
      </c>
      <c r="H305" s="2" t="s">
        <v>65</v>
      </c>
      <c r="I305" s="2" t="s">
        <v>915</v>
      </c>
      <c r="J305" s="3" t="str">
        <f>HYPERLINK("https://www.boe.es/gazeta/dias/1819/09/17/pdfs/GMD-1819-114E.pdf#page=3","Abrir facsímil")</f>
        <v>Abrir facsímil</v>
      </c>
      <c r="K305" s="3" t="s">
        <v>67</v>
      </c>
    </row>
    <row r="306" spans="1:11" ht="42" customHeight="1">
      <c r="A306" s="2" t="s">
        <v>911</v>
      </c>
      <c r="B306" s="2" t="s">
        <v>912</v>
      </c>
      <c r="C306" s="2" t="s">
        <v>80</v>
      </c>
      <c r="D306" s="2" t="s">
        <v>81</v>
      </c>
      <c r="E306" s="5">
        <v>-29285</v>
      </c>
      <c r="F306" s="3" t="s">
        <v>578</v>
      </c>
      <c r="G306" s="3" t="s">
        <v>33</v>
      </c>
      <c r="H306" s="2" t="s">
        <v>65</v>
      </c>
      <c r="I306" s="2" t="s">
        <v>916</v>
      </c>
      <c r="J306" s="3" t="str">
        <f>HYPERLINK("https://www.boe.es/gazeta/dias/1819/10/26/pdfs/GMD-1819-132.pdf#page=6","Abrir facsímil")</f>
        <v>Abrir facsímil</v>
      </c>
      <c r="K306" s="3" t="s">
        <v>67</v>
      </c>
    </row>
    <row r="307" spans="1:11" ht="42" customHeight="1">
      <c r="A307" s="2" t="s">
        <v>917</v>
      </c>
      <c r="B307" s="2" t="s">
        <v>918</v>
      </c>
      <c r="C307" s="2" t="s">
        <v>63</v>
      </c>
      <c r="D307" s="2" t="s">
        <v>43</v>
      </c>
      <c r="E307" s="5">
        <v>-29500</v>
      </c>
      <c r="F307" s="3" t="s">
        <v>212</v>
      </c>
      <c r="G307" s="3" t="s">
        <v>28</v>
      </c>
      <c r="H307" s="2" t="s">
        <v>65</v>
      </c>
      <c r="I307" s="2" t="s">
        <v>919</v>
      </c>
      <c r="J307" s="3" t="str">
        <f>HYPERLINK("https://www.boe.es/gazeta/dias/1819/03/25/pdfs/GMD-1819-36.pdf#page=8","Abrir facsímil")</f>
        <v>Abrir facsímil</v>
      </c>
      <c r="K307" s="3" t="s">
        <v>67</v>
      </c>
    </row>
    <row r="308" spans="1:11" ht="42" customHeight="1">
      <c r="A308" s="2" t="s">
        <v>920</v>
      </c>
      <c r="B308" s="2" t="s">
        <v>921</v>
      </c>
      <c r="C308" s="2" t="s">
        <v>80</v>
      </c>
      <c r="D308" s="2" t="s">
        <v>81</v>
      </c>
      <c r="E308" s="5">
        <v>-29549</v>
      </c>
      <c r="F308" s="3" t="s">
        <v>124</v>
      </c>
      <c r="G308" s="3" t="s">
        <v>922</v>
      </c>
      <c r="H308" s="2" t="s">
        <v>65</v>
      </c>
      <c r="I308" s="2" t="s">
        <v>923</v>
      </c>
      <c r="J308" s="3" t="str">
        <f>HYPERLINK("https://www.boe.es/gazeta/dias/1819/02/04/pdfs/GMD-1819-15.pdf#page=6","Abrir facsímil")</f>
        <v>Abrir facsímil</v>
      </c>
      <c r="K308" s="3" t="s">
        <v>67</v>
      </c>
    </row>
    <row r="309" spans="1:11" ht="42" customHeight="1">
      <c r="A309" s="2" t="s">
        <v>924</v>
      </c>
      <c r="B309" s="2" t="s">
        <v>925</v>
      </c>
      <c r="C309" s="2" t="s">
        <v>80</v>
      </c>
      <c r="D309" s="2" t="s">
        <v>81</v>
      </c>
      <c r="E309" s="5">
        <v>-29582</v>
      </c>
      <c r="F309" s="3" t="s">
        <v>376</v>
      </c>
      <c r="G309" s="3" t="s">
        <v>702</v>
      </c>
      <c r="H309" s="2" t="s">
        <v>65</v>
      </c>
      <c r="I309" s="2" t="s">
        <v>926</v>
      </c>
      <c r="J309" s="3" t="str">
        <f>HYPERLINK("https://www.boe.es/gazeta/dias/1819/01/02/pdfs/GMD-1819-1.pdf#page=7","Abrir facsímil")</f>
        <v>Abrir facsímil</v>
      </c>
      <c r="K309" s="3" t="s">
        <v>67</v>
      </c>
    </row>
    <row r="310" spans="1:11" ht="42" customHeight="1">
      <c r="A310" s="2" t="s">
        <v>924</v>
      </c>
      <c r="B310" s="2" t="s">
        <v>925</v>
      </c>
      <c r="C310" s="2" t="s">
        <v>80</v>
      </c>
      <c r="D310" s="2" t="s">
        <v>81</v>
      </c>
      <c r="E310" s="5">
        <v>-29446</v>
      </c>
      <c r="F310" s="3" t="s">
        <v>773</v>
      </c>
      <c r="G310" s="3" t="s">
        <v>774</v>
      </c>
      <c r="H310" s="2" t="s">
        <v>65</v>
      </c>
      <c r="I310" s="2" t="s">
        <v>927</v>
      </c>
      <c r="J310" s="3" t="str">
        <f>HYPERLINK("https://www.boe.es/gazeta/dias/1819/05/18/pdfs/GMD-1819-59.pdf#page=6","Abrir facsímil")</f>
        <v>Abrir facsímil</v>
      </c>
      <c r="K310" s="3" t="s">
        <v>67</v>
      </c>
    </row>
    <row r="311" spans="1:11" ht="42" customHeight="1">
      <c r="A311" s="2" t="s">
        <v>928</v>
      </c>
      <c r="B311" s="2" t="s">
        <v>929</v>
      </c>
      <c r="C311" s="2" t="s">
        <v>26</v>
      </c>
      <c r="D311" s="2" t="s">
        <v>18</v>
      </c>
      <c r="E311" s="5">
        <v>-29360</v>
      </c>
      <c r="F311" s="3" t="s">
        <v>182</v>
      </c>
      <c r="G311" s="3" t="s">
        <v>28</v>
      </c>
      <c r="H311" s="2" t="s">
        <v>65</v>
      </c>
      <c r="I311" s="2" t="s">
        <v>930</v>
      </c>
      <c r="J311" s="3" t="str">
        <f>HYPERLINK("https://www.boe.es/gazeta/dias/1819/08/12/pdfs/GMD-1819-97.pdf#page=8","Abrir facsímil")</f>
        <v>Abrir facsímil</v>
      </c>
      <c r="K311" s="3" t="s">
        <v>67</v>
      </c>
    </row>
    <row r="312" spans="1:11" ht="42" customHeight="1">
      <c r="A312" s="2" t="s">
        <v>931</v>
      </c>
      <c r="B312" s="2" t="s">
        <v>932</v>
      </c>
      <c r="C312" s="2" t="s">
        <v>80</v>
      </c>
      <c r="D312" s="2" t="s">
        <v>454</v>
      </c>
      <c r="E312" s="5">
        <v>-29287</v>
      </c>
      <c r="F312" s="3" t="s">
        <v>455</v>
      </c>
      <c r="G312" s="3" t="s">
        <v>456</v>
      </c>
      <c r="H312" s="2" t="s">
        <v>65</v>
      </c>
      <c r="I312" s="2" t="s">
        <v>933</v>
      </c>
      <c r="J312" s="3" t="str">
        <f>HYPERLINK("https://www.boe.es/gazeta/dias/1819/10/24/pdfs/GMD-1819-131E.pdf#page=9","Abrir facsímil")</f>
        <v>Abrir facsímil</v>
      </c>
      <c r="K312" s="3" t="s">
        <v>67</v>
      </c>
    </row>
    <row r="313" spans="1:11" ht="42" customHeight="1">
      <c r="A313" s="2" t="s">
        <v>934</v>
      </c>
      <c r="B313" s="2" t="s">
        <v>935</v>
      </c>
      <c r="C313" s="2" t="s">
        <v>63</v>
      </c>
      <c r="D313" s="2" t="s">
        <v>43</v>
      </c>
      <c r="E313" s="5">
        <v>-29316</v>
      </c>
      <c r="F313" s="3" t="s">
        <v>166</v>
      </c>
      <c r="G313" s="3" t="s">
        <v>28</v>
      </c>
      <c r="H313" s="2" t="s">
        <v>65</v>
      </c>
      <c r="I313" s="2" t="s">
        <v>936</v>
      </c>
      <c r="J313" s="3" t="str">
        <f>HYPERLINK("https://www.boe.es/gazeta/dias/1819/09/25/pdfs/GMD-1819-118.pdf#page=8","Abrir facsímil")</f>
        <v>Abrir facsímil</v>
      </c>
      <c r="K313" s="3" t="s">
        <v>67</v>
      </c>
    </row>
    <row r="314" spans="1:11" ht="42" customHeight="1">
      <c r="A314" s="2" t="s">
        <v>937</v>
      </c>
      <c r="B314" s="2" t="s">
        <v>938</v>
      </c>
      <c r="C314" s="2" t="s">
        <v>59</v>
      </c>
      <c r="D314" s="2" t="s">
        <v>18</v>
      </c>
      <c r="E314" s="5">
        <v>-29316</v>
      </c>
      <c r="F314" s="3" t="s">
        <v>166</v>
      </c>
      <c r="G314" s="3" t="s">
        <v>28</v>
      </c>
      <c r="H314" s="2" t="s">
        <v>65</v>
      </c>
      <c r="I314" s="2" t="s">
        <v>939</v>
      </c>
      <c r="J314" s="3" t="str">
        <f>HYPERLINK("https://www.boe.es/gazeta/dias/1819/09/25/pdfs/GMD-1819-118.pdf#page=8","Abrir facsímil")</f>
        <v>Abrir facsímil</v>
      </c>
      <c r="K314" s="3" t="s">
        <v>67</v>
      </c>
    </row>
    <row r="315" spans="1:11" ht="42" customHeight="1">
      <c r="A315" s="2" t="s">
        <v>940</v>
      </c>
      <c r="B315" s="2" t="s">
        <v>941</v>
      </c>
      <c r="C315" s="2" t="s">
        <v>136</v>
      </c>
      <c r="D315" s="2" t="s">
        <v>18</v>
      </c>
      <c r="E315" s="5">
        <v>-29509</v>
      </c>
      <c r="F315" s="3" t="s">
        <v>942</v>
      </c>
      <c r="G315" s="3" t="s">
        <v>28</v>
      </c>
      <c r="H315" s="2" t="s">
        <v>65</v>
      </c>
      <c r="I315" s="2" t="s">
        <v>943</v>
      </c>
      <c r="J315" s="3" t="str">
        <f>HYPERLINK("https://www.boe.es/gazeta/dias/1819/03/16/pdfs/GMD-1819-32.pdf#page=8","Abrir facsímil")</f>
        <v>Abrir facsímil</v>
      </c>
      <c r="K315" s="3" t="s">
        <v>67</v>
      </c>
    </row>
    <row r="316" spans="1:11" ht="42" customHeight="1">
      <c r="A316" s="2" t="s">
        <v>940</v>
      </c>
      <c r="B316" s="2" t="s">
        <v>941</v>
      </c>
      <c r="C316" s="2" t="s">
        <v>59</v>
      </c>
      <c r="D316" s="2" t="s">
        <v>454</v>
      </c>
      <c r="E316" s="5">
        <v>-29287</v>
      </c>
      <c r="F316" s="3" t="s">
        <v>455</v>
      </c>
      <c r="G316" s="3" t="s">
        <v>38</v>
      </c>
      <c r="H316" s="2" t="s">
        <v>65</v>
      </c>
      <c r="I316" s="2" t="s">
        <v>944</v>
      </c>
      <c r="J316" s="3" t="str">
        <f>HYPERLINK("https://www.boe.es/gazeta/dias/1819/10/24/pdfs/GMD-1819-131E.pdf#page=5","Abrir facsímil")</f>
        <v>Abrir facsímil</v>
      </c>
      <c r="K316" s="3" t="s">
        <v>67</v>
      </c>
    </row>
    <row r="317" spans="1:11" ht="42" customHeight="1">
      <c r="A317" s="2" t="s">
        <v>945</v>
      </c>
      <c r="B317" s="2" t="s">
        <v>946</v>
      </c>
      <c r="C317" s="2" t="s">
        <v>59</v>
      </c>
      <c r="D317" s="2" t="s">
        <v>18</v>
      </c>
      <c r="E317" s="5">
        <v>-29425</v>
      </c>
      <c r="F317" s="3" t="s">
        <v>110</v>
      </c>
      <c r="G317" s="3" t="s">
        <v>55</v>
      </c>
      <c r="H317" s="2" t="s">
        <v>65</v>
      </c>
      <c r="I317" s="2" t="s">
        <v>947</v>
      </c>
      <c r="J317" s="3" t="str">
        <f>HYPERLINK("https://www.boe.es/gazeta/dias/1819/06/08/pdfs/GMD-1819-68.pdf#page=7","Abrir facsímil")</f>
        <v>Abrir facsímil</v>
      </c>
      <c r="K317" s="3" t="s">
        <v>67</v>
      </c>
    </row>
    <row r="318" spans="1:11" ht="42" customHeight="1">
      <c r="A318" s="2" t="s">
        <v>948</v>
      </c>
      <c r="B318" s="2" t="s">
        <v>949</v>
      </c>
      <c r="C318" s="2" t="s">
        <v>63</v>
      </c>
      <c r="D318" s="2" t="s">
        <v>43</v>
      </c>
      <c r="E318" s="5">
        <v>-29281</v>
      </c>
      <c r="F318" s="3" t="s">
        <v>19</v>
      </c>
      <c r="G318" s="3" t="s">
        <v>55</v>
      </c>
      <c r="H318" s="2" t="s">
        <v>65</v>
      </c>
      <c r="I318" s="2" t="s">
        <v>950</v>
      </c>
      <c r="J318" s="3" t="str">
        <f>HYPERLINK("https://www.boe.es/gazeta/dias/1819/10/30/pdfs/GMD-1819-134.pdf#page=7","Abrir facsímil")</f>
        <v>Abrir facsímil</v>
      </c>
      <c r="K318" s="3" t="s">
        <v>67</v>
      </c>
    </row>
    <row r="319" spans="1:11" ht="42" customHeight="1">
      <c r="A319" s="2" t="s">
        <v>951</v>
      </c>
      <c r="B319" s="2" t="s">
        <v>952</v>
      </c>
      <c r="C319" s="2" t="s">
        <v>59</v>
      </c>
      <c r="D319" s="2" t="s">
        <v>18</v>
      </c>
      <c r="E319" s="5">
        <v>-29365</v>
      </c>
      <c r="F319" s="3" t="s">
        <v>218</v>
      </c>
      <c r="G319" s="3" t="s">
        <v>953</v>
      </c>
      <c r="H319" s="2" t="s">
        <v>65</v>
      </c>
      <c r="I319" s="2" t="s">
        <v>954</v>
      </c>
      <c r="J319" s="3" t="str">
        <f>HYPERLINK("https://www.boe.es/gazeta/dias/1819/08/07/pdfs/GMD-1819-95.pdf#page=7","Abrir facsímil")</f>
        <v>Abrir facsímil</v>
      </c>
      <c r="K319" s="3" t="s">
        <v>67</v>
      </c>
    </row>
    <row r="320" spans="1:11" ht="42" customHeight="1">
      <c r="A320" s="2" t="s">
        <v>955</v>
      </c>
      <c r="B320" s="2" t="s">
        <v>956</v>
      </c>
      <c r="C320" s="2" t="s">
        <v>59</v>
      </c>
      <c r="D320" s="2" t="s">
        <v>18</v>
      </c>
      <c r="E320" s="5">
        <v>-29369</v>
      </c>
      <c r="F320" s="3" t="s">
        <v>231</v>
      </c>
      <c r="G320" s="3" t="s">
        <v>232</v>
      </c>
      <c r="H320" s="2" t="s">
        <v>65</v>
      </c>
      <c r="I320" s="2" t="s">
        <v>957</v>
      </c>
      <c r="J320" s="3" t="str">
        <f>HYPERLINK("https://www.boe.es/gazeta/dias/1819/08/03/pdfs/GMD-1819-93.pdf#page=5","Abrir facsímil")</f>
        <v>Abrir facsímil</v>
      </c>
      <c r="K320" s="3" t="s">
        <v>67</v>
      </c>
    </row>
    <row r="321" spans="1:11" ht="42" customHeight="1">
      <c r="A321" s="2" t="s">
        <v>958</v>
      </c>
      <c r="B321" s="2" t="s">
        <v>959</v>
      </c>
      <c r="C321" s="2" t="s">
        <v>59</v>
      </c>
      <c r="D321" s="2" t="s">
        <v>18</v>
      </c>
      <c r="E321" s="5">
        <v>-29348</v>
      </c>
      <c r="F321" s="3" t="s">
        <v>227</v>
      </c>
      <c r="G321" s="3" t="s">
        <v>55</v>
      </c>
      <c r="H321" s="2" t="s">
        <v>65</v>
      </c>
      <c r="I321" s="2" t="s">
        <v>960</v>
      </c>
      <c r="J321" s="3" t="str">
        <f>HYPERLINK("https://www.boe.es/gazeta/dias/1819/08/24/pdfs/GMD-1819-102.pdf#page=7","Abrir facsímil")</f>
        <v>Abrir facsímil</v>
      </c>
      <c r="K321" s="3" t="s">
        <v>67</v>
      </c>
    </row>
    <row r="322" spans="1:11" ht="42" customHeight="1">
      <c r="A322" s="2" t="s">
        <v>958</v>
      </c>
      <c r="B322" s="2" t="s">
        <v>959</v>
      </c>
      <c r="C322" s="2" t="s">
        <v>59</v>
      </c>
      <c r="D322" s="2" t="s">
        <v>18</v>
      </c>
      <c r="E322" s="5">
        <v>-29325</v>
      </c>
      <c r="F322" s="3" t="s">
        <v>174</v>
      </c>
      <c r="G322" s="3" t="s">
        <v>33</v>
      </c>
      <c r="H322" s="2" t="s">
        <v>65</v>
      </c>
      <c r="I322" s="2" t="s">
        <v>961</v>
      </c>
      <c r="J322" s="3" t="str">
        <f>HYPERLINK("https://www.boe.es/gazeta/dias/1819/09/16/pdfs/GMD-1819-113.pdf#page=6","Abrir facsímil")</f>
        <v>Abrir facsímil</v>
      </c>
      <c r="K322" s="3" t="s">
        <v>67</v>
      </c>
    </row>
    <row r="323" spans="1:11" ht="42" customHeight="1">
      <c r="A323" s="2" t="s">
        <v>962</v>
      </c>
      <c r="B323" s="2" t="s">
        <v>963</v>
      </c>
      <c r="C323" s="2" t="s">
        <v>63</v>
      </c>
      <c r="D323" s="2" t="s">
        <v>43</v>
      </c>
      <c r="E323" s="5">
        <v>-29281</v>
      </c>
      <c r="F323" s="3" t="s">
        <v>19</v>
      </c>
      <c r="G323" s="3" t="s">
        <v>20</v>
      </c>
      <c r="H323" s="2" t="s">
        <v>65</v>
      </c>
      <c r="I323" s="2" t="s">
        <v>964</v>
      </c>
      <c r="J323" s="3" t="str">
        <f>HYPERLINK("https://www.boe.es/gazeta/dias/1819/10/30/pdfs/GMD-1819-134.pdf#page=10","Abrir facsímil")</f>
        <v>Abrir facsímil</v>
      </c>
      <c r="K323" s="3" t="s">
        <v>67</v>
      </c>
    </row>
    <row r="324" spans="1:11" ht="42" customHeight="1">
      <c r="A324" s="2" t="s">
        <v>965</v>
      </c>
      <c r="B324" s="2" t="s">
        <v>965</v>
      </c>
      <c r="C324" s="2" t="s">
        <v>215</v>
      </c>
      <c r="D324" s="2" t="s">
        <v>18</v>
      </c>
      <c r="E324" s="5">
        <v>-29568</v>
      </c>
      <c r="F324" s="3" t="s">
        <v>966</v>
      </c>
      <c r="G324" s="3" t="s">
        <v>102</v>
      </c>
      <c r="H324" s="2" t="s">
        <v>65</v>
      </c>
      <c r="I324" s="2" t="s">
        <v>967</v>
      </c>
      <c r="J324" s="3" t="str">
        <f>HYPERLINK("https://www.boe.es/gazeta/dias/1819/01/16/pdfs/GMD-1819-7.pdf#page=3","Abrir facsímil")</f>
        <v>Abrir facsímil</v>
      </c>
      <c r="K324" s="3" t="s">
        <v>67</v>
      </c>
    </row>
    <row r="325" spans="1:11" ht="42" customHeight="1">
      <c r="A325" s="2" t="s">
        <v>968</v>
      </c>
      <c r="B325" s="2" t="s">
        <v>969</v>
      </c>
      <c r="C325" s="2" t="s">
        <v>17</v>
      </c>
      <c r="D325" s="2" t="s">
        <v>18</v>
      </c>
      <c r="E325" s="5">
        <v>-29306</v>
      </c>
      <c r="F325" s="3" t="s">
        <v>303</v>
      </c>
      <c r="G325" s="3" t="s">
        <v>55</v>
      </c>
      <c r="H325" s="2" t="s">
        <v>65</v>
      </c>
      <c r="I325" s="2" t="s">
        <v>970</v>
      </c>
      <c r="J325" s="3" t="str">
        <f>HYPERLINK("https://www.boe.es/gazeta/dias/1819/10/05/pdfs/GMD-1819-122.pdf#page=7","Abrir facsímil")</f>
        <v>Abrir facsímil</v>
      </c>
      <c r="K325" s="3" t="s">
        <v>67</v>
      </c>
    </row>
    <row r="326" spans="1:11" ht="42" customHeight="1">
      <c r="A326" s="2" t="s">
        <v>971</v>
      </c>
      <c r="B326" s="2" t="s">
        <v>972</v>
      </c>
      <c r="C326" s="2" t="s">
        <v>246</v>
      </c>
      <c r="D326" s="2" t="s">
        <v>18</v>
      </c>
      <c r="E326" s="5">
        <v>-29498</v>
      </c>
      <c r="F326" s="3" t="s">
        <v>119</v>
      </c>
      <c r="G326" s="3" t="s">
        <v>28</v>
      </c>
      <c r="H326" s="2" t="s">
        <v>65</v>
      </c>
      <c r="I326" s="2" t="s">
        <v>973</v>
      </c>
      <c r="J326" s="3" t="str">
        <f>HYPERLINK("https://www.boe.es/gazeta/dias/1819/03/27/pdfs/GMD-1819-37.pdf#page=8","Abrir facsímil")</f>
        <v>Abrir facsímil</v>
      </c>
      <c r="K326" s="3" t="s">
        <v>67</v>
      </c>
    </row>
    <row r="327" spans="1:11" ht="42" customHeight="1">
      <c r="A327" s="2" t="s">
        <v>974</v>
      </c>
      <c r="B327" s="2" t="s">
        <v>975</v>
      </c>
      <c r="C327" s="2" t="s">
        <v>59</v>
      </c>
      <c r="D327" s="2" t="s">
        <v>18</v>
      </c>
      <c r="E327" s="5">
        <v>-29414</v>
      </c>
      <c r="F327" s="3" t="s">
        <v>732</v>
      </c>
      <c r="G327" s="3" t="s">
        <v>55</v>
      </c>
      <c r="H327" s="2" t="s">
        <v>65</v>
      </c>
      <c r="I327" s="2" t="s">
        <v>976</v>
      </c>
      <c r="J327" s="3" t="str">
        <f>HYPERLINK("https://www.boe.es/gazeta/dias/1819/06/19/pdfs/GMD-1819-74.pdf#page=7","Abrir facsímil")</f>
        <v>Abrir facsímil</v>
      </c>
      <c r="K327" s="3" t="s">
        <v>67</v>
      </c>
    </row>
    <row r="328" spans="1:11" ht="42" customHeight="1">
      <c r="A328" s="2" t="s">
        <v>977</v>
      </c>
      <c r="B328" s="2" t="s">
        <v>978</v>
      </c>
      <c r="C328" s="2" t="s">
        <v>63</v>
      </c>
      <c r="D328" s="2" t="s">
        <v>43</v>
      </c>
      <c r="E328" s="5">
        <v>-29479</v>
      </c>
      <c r="F328" s="3" t="s">
        <v>979</v>
      </c>
      <c r="G328" s="3" t="s">
        <v>33</v>
      </c>
      <c r="H328" s="2" t="s">
        <v>65</v>
      </c>
      <c r="I328" s="2" t="s">
        <v>980</v>
      </c>
      <c r="J328" s="3" t="str">
        <f>HYPERLINK("https://www.boe.es/gazeta/dias/1819/04/15/pdfs/GMD-1819-45.pdf#page=6","Abrir facsímil")</f>
        <v>Abrir facsímil</v>
      </c>
      <c r="K328" s="3" t="s">
        <v>67</v>
      </c>
    </row>
    <row r="329" spans="1:11" ht="42" customHeight="1">
      <c r="A329" s="2" t="s">
        <v>981</v>
      </c>
      <c r="B329" s="2" t="s">
        <v>982</v>
      </c>
      <c r="C329" s="2" t="s">
        <v>63</v>
      </c>
      <c r="D329" s="2" t="s">
        <v>454</v>
      </c>
      <c r="E329" s="5">
        <v>-29324</v>
      </c>
      <c r="F329" s="3" t="s">
        <v>914</v>
      </c>
      <c r="G329" s="3" t="s">
        <v>239</v>
      </c>
      <c r="H329" s="2" t="s">
        <v>65</v>
      </c>
      <c r="I329" s="2" t="s">
        <v>983</v>
      </c>
      <c r="J329" s="3" t="str">
        <f>HYPERLINK("https://www.boe.es/gazeta/dias/1819/09/17/pdfs/GMD-1819-114E.pdf#page=1","Abrir facsímil")</f>
        <v>Abrir facsímil</v>
      </c>
      <c r="K329" s="3" t="s">
        <v>67</v>
      </c>
    </row>
    <row r="330" spans="1:11" ht="42" customHeight="1">
      <c r="A330" s="2" t="s">
        <v>984</v>
      </c>
      <c r="B330" s="2" t="s">
        <v>985</v>
      </c>
      <c r="C330" s="2" t="s">
        <v>59</v>
      </c>
      <c r="D330" s="2" t="s">
        <v>18</v>
      </c>
      <c r="E330" s="5">
        <v>-29374</v>
      </c>
      <c r="F330" s="3" t="s">
        <v>204</v>
      </c>
      <c r="G330" s="3" t="s">
        <v>33</v>
      </c>
      <c r="H330" s="2" t="s">
        <v>65</v>
      </c>
      <c r="I330" s="2" t="s">
        <v>986</v>
      </c>
      <c r="J330" s="3" t="str">
        <f>HYPERLINK("https://www.boe.es/gazeta/dias/1819/07/29/pdfs/GMD-1819-91.pdf#page=6","Abrir facsímil")</f>
        <v>Abrir facsímil</v>
      </c>
      <c r="K330" s="3" t="s">
        <v>67</v>
      </c>
    </row>
    <row r="331" spans="1:11" ht="42" customHeight="1">
      <c r="A331" s="2" t="s">
        <v>984</v>
      </c>
      <c r="B331" s="2" t="s">
        <v>985</v>
      </c>
      <c r="C331" s="2" t="s">
        <v>63</v>
      </c>
      <c r="D331" s="2" t="s">
        <v>454</v>
      </c>
      <c r="E331" s="5">
        <v>-29324</v>
      </c>
      <c r="F331" s="3" t="s">
        <v>914</v>
      </c>
      <c r="G331" s="3" t="s">
        <v>102</v>
      </c>
      <c r="H331" s="2" t="s">
        <v>65</v>
      </c>
      <c r="I331" s="2" t="s">
        <v>987</v>
      </c>
      <c r="J331" s="3" t="str">
        <f>HYPERLINK("https://www.boe.es/gazeta/dias/1819/09/17/pdfs/GMD-1819-114E.pdf#page=3","Abrir facsímil")</f>
        <v>Abrir facsímil</v>
      </c>
      <c r="K331" s="3" t="s">
        <v>67</v>
      </c>
    </row>
    <row r="332" spans="1:11" ht="42" customHeight="1">
      <c r="A332" s="2" t="s">
        <v>984</v>
      </c>
      <c r="B332" s="2" t="s">
        <v>985</v>
      </c>
      <c r="C332" s="2" t="s">
        <v>80</v>
      </c>
      <c r="D332" s="2" t="s">
        <v>81</v>
      </c>
      <c r="E332" s="5">
        <v>-29222</v>
      </c>
      <c r="F332" s="3" t="s">
        <v>338</v>
      </c>
      <c r="G332" s="3" t="s">
        <v>988</v>
      </c>
      <c r="H332" s="2" t="s">
        <v>65</v>
      </c>
      <c r="I332" s="2" t="s">
        <v>989</v>
      </c>
      <c r="J332" s="3" t="str">
        <f>HYPERLINK("https://www.boe.es/gazeta/dias/1819/12/28/pdfs/GMD-1819-159.pdf#page=4","Abrir facsímil")</f>
        <v>Abrir facsímil</v>
      </c>
      <c r="K332" s="3" t="s">
        <v>67</v>
      </c>
    </row>
    <row r="333" spans="1:11" ht="42" customHeight="1">
      <c r="A333" s="2" t="s">
        <v>990</v>
      </c>
      <c r="B333" s="2" t="s">
        <v>991</v>
      </c>
      <c r="C333" s="2" t="s">
        <v>63</v>
      </c>
      <c r="D333" s="2" t="s">
        <v>43</v>
      </c>
      <c r="E333" s="5">
        <v>-29495</v>
      </c>
      <c r="F333" s="3" t="s">
        <v>992</v>
      </c>
      <c r="G333" s="3" t="s">
        <v>993</v>
      </c>
      <c r="H333" s="2" t="s">
        <v>65</v>
      </c>
      <c r="I333" s="2" t="s">
        <v>994</v>
      </c>
      <c r="J333" s="3" t="str">
        <f>HYPERLINK("https://www.boe.es/gazeta/dias/1819/03/30/pdfs/GMD-1819-38.pdf#page=12","Abrir facsímil")</f>
        <v>Abrir facsímil</v>
      </c>
      <c r="K333" s="3" t="s">
        <v>67</v>
      </c>
    </row>
    <row r="334" spans="1:11" ht="42" customHeight="1">
      <c r="A334" s="2" t="s">
        <v>995</v>
      </c>
      <c r="B334" s="2" t="s">
        <v>996</v>
      </c>
      <c r="C334" s="2" t="s">
        <v>80</v>
      </c>
      <c r="D334" s="2" t="s">
        <v>81</v>
      </c>
      <c r="E334" s="5">
        <v>-29435</v>
      </c>
      <c r="F334" s="3" t="s">
        <v>191</v>
      </c>
      <c r="G334" s="3" t="s">
        <v>55</v>
      </c>
      <c r="H334" s="2" t="s">
        <v>65</v>
      </c>
      <c r="I334" s="2" t="s">
        <v>997</v>
      </c>
      <c r="J334" s="3" t="str">
        <f>HYPERLINK("https://www.boe.es/gazeta/dias/1819/05/29/pdfs/GMD-1819-64.pdf#page=7","Abrir facsímil")</f>
        <v>Abrir facsímil</v>
      </c>
      <c r="K334" s="3" t="s">
        <v>67</v>
      </c>
    </row>
    <row r="335" spans="1:11" ht="42" customHeight="1">
      <c r="A335" s="2" t="s">
        <v>998</v>
      </c>
      <c r="B335" s="2" t="s">
        <v>998</v>
      </c>
      <c r="C335" s="2" t="s">
        <v>80</v>
      </c>
      <c r="D335" s="2" t="s">
        <v>81</v>
      </c>
      <c r="E335" s="5">
        <v>-29486</v>
      </c>
      <c r="F335" s="3" t="s">
        <v>330</v>
      </c>
      <c r="G335" s="3" t="s">
        <v>38</v>
      </c>
      <c r="H335" s="2" t="s">
        <v>65</v>
      </c>
      <c r="I335" s="2" t="s">
        <v>999</v>
      </c>
      <c r="J335" s="3" t="str">
        <f>HYPERLINK("https://www.boe.es/gazeta/dias/1819/04/08/pdfs/GMD-1819-42.pdf#page=5","Abrir facsímil")</f>
        <v>Abrir facsímil</v>
      </c>
      <c r="K335" s="3" t="s">
        <v>67</v>
      </c>
    </row>
    <row r="336" spans="1:11" ht="42" customHeight="1">
      <c r="A336" s="2" t="s">
        <v>1000</v>
      </c>
      <c r="B336" s="2" t="s">
        <v>1001</v>
      </c>
      <c r="C336" s="2" t="s">
        <v>136</v>
      </c>
      <c r="D336" s="2" t="s">
        <v>18</v>
      </c>
      <c r="E336" s="5">
        <v>-29521</v>
      </c>
      <c r="F336" s="3" t="s">
        <v>1002</v>
      </c>
      <c r="G336" s="3" t="s">
        <v>33</v>
      </c>
      <c r="H336" s="2" t="s">
        <v>65</v>
      </c>
      <c r="I336" s="2" t="s">
        <v>1003</v>
      </c>
      <c r="J336" s="3" t="str">
        <f>HYPERLINK("https://www.boe.es/gazeta/dias/1819/03/04/pdfs/GMD-1819-27.pdf#page=6","Abrir facsímil")</f>
        <v>Abrir facsímil</v>
      </c>
      <c r="K336" s="3" t="s">
        <v>67</v>
      </c>
    </row>
    <row r="337" spans="1:11" ht="42" customHeight="1">
      <c r="A337" s="2" t="s">
        <v>1004</v>
      </c>
      <c r="B337" s="2" t="s">
        <v>1005</v>
      </c>
      <c r="C337" s="2" t="s">
        <v>59</v>
      </c>
      <c r="D337" s="2" t="s">
        <v>18</v>
      </c>
      <c r="E337" s="5">
        <v>-29493</v>
      </c>
      <c r="F337" s="3" t="s">
        <v>404</v>
      </c>
      <c r="G337" s="3" t="s">
        <v>55</v>
      </c>
      <c r="H337" s="2" t="s">
        <v>65</v>
      </c>
      <c r="I337" s="2" t="s">
        <v>1006</v>
      </c>
      <c r="J337" s="3" t="str">
        <f>HYPERLINK("https://www.boe.es/gazeta/dias/1819/04/01/pdfs/GMD-1819-39.pdf#page=7","Abrir facsímil")</f>
        <v>Abrir facsímil</v>
      </c>
      <c r="K337" s="3" t="s">
        <v>67</v>
      </c>
    </row>
    <row r="338" spans="1:11" ht="42" customHeight="1">
      <c r="A338" s="2" t="s">
        <v>1007</v>
      </c>
      <c r="B338" s="2" t="s">
        <v>1007</v>
      </c>
      <c r="C338" s="2" t="s">
        <v>215</v>
      </c>
      <c r="D338" s="2" t="s">
        <v>18</v>
      </c>
      <c r="E338" s="5">
        <v>-29577</v>
      </c>
      <c r="F338" s="3" t="s">
        <v>1008</v>
      </c>
      <c r="G338" s="3" t="s">
        <v>296</v>
      </c>
      <c r="H338" s="2" t="s">
        <v>65</v>
      </c>
      <c r="I338" s="2" t="s">
        <v>1009</v>
      </c>
      <c r="J338" s="3" t="str">
        <f>HYPERLINK("https://www.boe.es/gazeta/dias/1819/01/07/pdfs/GMD-1819-3.pdf#page=4","Abrir facsímil")</f>
        <v>Abrir facsímil</v>
      </c>
      <c r="K338" s="3" t="s">
        <v>67</v>
      </c>
    </row>
    <row r="339" spans="1:11" ht="42" customHeight="1">
      <c r="A339" s="2" t="s">
        <v>1010</v>
      </c>
      <c r="B339" s="2" t="s">
        <v>1011</v>
      </c>
      <c r="C339" s="2" t="s">
        <v>63</v>
      </c>
      <c r="D339" s="2" t="s">
        <v>43</v>
      </c>
      <c r="E339" s="5">
        <v>-29528</v>
      </c>
      <c r="F339" s="3" t="s">
        <v>708</v>
      </c>
      <c r="G339" s="3" t="s">
        <v>38</v>
      </c>
      <c r="H339" s="2" t="s">
        <v>65</v>
      </c>
      <c r="I339" s="2" t="s">
        <v>1012</v>
      </c>
      <c r="J339" s="3" t="str">
        <f>HYPERLINK("https://www.boe.es/gazeta/dias/1819/02/25/pdfs/GMD-1819-24.pdf#page=5","Abrir facsímil")</f>
        <v>Abrir facsímil</v>
      </c>
      <c r="K339" s="3" t="s">
        <v>67</v>
      </c>
    </row>
    <row r="340" spans="1:11" ht="42" customHeight="1">
      <c r="A340" s="2" t="s">
        <v>1013</v>
      </c>
      <c r="B340" s="2" t="s">
        <v>1014</v>
      </c>
      <c r="C340" s="2" t="s">
        <v>246</v>
      </c>
      <c r="D340" s="2" t="s">
        <v>18</v>
      </c>
      <c r="E340" s="5">
        <v>-29276</v>
      </c>
      <c r="F340" s="3" t="s">
        <v>54</v>
      </c>
      <c r="G340" s="3" t="s">
        <v>284</v>
      </c>
      <c r="H340" s="2" t="s">
        <v>65</v>
      </c>
      <c r="I340" s="2" t="s">
        <v>1015</v>
      </c>
      <c r="J340" s="3" t="str">
        <f>HYPERLINK("https://www.boe.es/gazeta/dias/1819/11/04/pdfs/GMD-1819-136.pdf#page=6","Abrir facsímil")</f>
        <v>Abrir facsímil</v>
      </c>
      <c r="K340" s="3" t="s">
        <v>67</v>
      </c>
    </row>
    <row r="341" spans="1:11" ht="42" customHeight="1">
      <c r="A341" s="2" t="s">
        <v>1016</v>
      </c>
      <c r="B341" s="2" t="s">
        <v>1017</v>
      </c>
      <c r="C341" s="2" t="s">
        <v>26</v>
      </c>
      <c r="D341" s="2" t="s">
        <v>18</v>
      </c>
      <c r="E341" s="5">
        <v>-29267</v>
      </c>
      <c r="F341" s="3" t="s">
        <v>370</v>
      </c>
      <c r="G341" s="3" t="s">
        <v>138</v>
      </c>
      <c r="H341" s="2" t="s">
        <v>65</v>
      </c>
      <c r="I341" s="2" t="s">
        <v>1018</v>
      </c>
      <c r="J341" s="3" t="str">
        <f>HYPERLINK("https://www.boe.es/gazeta/dias/1819/11/13/pdfs/GMD-1819-140.pdf#page=12","Abrir facsímil")</f>
        <v>Abrir facsímil</v>
      </c>
      <c r="K341" s="3" t="s">
        <v>67</v>
      </c>
    </row>
    <row r="342" spans="1:11" ht="42" customHeight="1">
      <c r="A342" s="2" t="s">
        <v>1019</v>
      </c>
      <c r="B342" s="2" t="s">
        <v>1020</v>
      </c>
      <c r="C342" s="2" t="s">
        <v>26</v>
      </c>
      <c r="D342" s="2" t="s">
        <v>18</v>
      </c>
      <c r="E342" s="5">
        <v>-29348</v>
      </c>
      <c r="F342" s="3" t="s">
        <v>227</v>
      </c>
      <c r="G342" s="3" t="s">
        <v>28</v>
      </c>
      <c r="H342" s="2" t="s">
        <v>65</v>
      </c>
      <c r="I342" s="2" t="s">
        <v>1021</v>
      </c>
      <c r="J342" s="3" t="str">
        <f>HYPERLINK("https://www.boe.es/gazeta/dias/1819/08/24/pdfs/GMD-1819-102.pdf#page=8","Abrir facsímil")</f>
        <v>Abrir facsímil</v>
      </c>
      <c r="K342" s="3" t="s">
        <v>67</v>
      </c>
    </row>
    <row r="343" spans="1:11" ht="42" customHeight="1">
      <c r="A343" s="2" t="s">
        <v>1022</v>
      </c>
      <c r="B343" s="2" t="s">
        <v>1023</v>
      </c>
      <c r="C343" s="2" t="s">
        <v>80</v>
      </c>
      <c r="D343" s="2" t="s">
        <v>81</v>
      </c>
      <c r="E343" s="5">
        <v>-29428</v>
      </c>
      <c r="F343" s="3" t="s">
        <v>730</v>
      </c>
      <c r="G343" s="3" t="s">
        <v>33</v>
      </c>
      <c r="H343" s="2" t="s">
        <v>65</v>
      </c>
      <c r="I343" s="2" t="s">
        <v>1024</v>
      </c>
      <c r="J343" s="3" t="str">
        <f>HYPERLINK("https://www.boe.es/gazeta/dias/1819/06/05/pdfs/GMD-1819-67.pdf#page=6","Abrir facsímil")</f>
        <v>Abrir facsímil</v>
      </c>
      <c r="K343" s="3" t="s">
        <v>67</v>
      </c>
    </row>
    <row r="344" spans="1:11" ht="42" customHeight="1">
      <c r="A344" s="2" t="s">
        <v>1025</v>
      </c>
      <c r="B344" s="2" t="s">
        <v>1026</v>
      </c>
      <c r="C344" s="2" t="s">
        <v>63</v>
      </c>
      <c r="D344" s="2" t="s">
        <v>43</v>
      </c>
      <c r="E344" s="5">
        <v>-29537</v>
      </c>
      <c r="F344" s="3" t="s">
        <v>593</v>
      </c>
      <c r="G344" s="3" t="s">
        <v>138</v>
      </c>
      <c r="H344" s="2" t="s">
        <v>65</v>
      </c>
      <c r="I344" s="2" t="s">
        <v>1027</v>
      </c>
      <c r="J344" s="3" t="str">
        <f>HYPERLINK("https://www.boe.es/gazeta/dias/1819/02/16/pdfs/GMD-1819-20.pdf#page=12","Abrir facsímil")</f>
        <v>Abrir facsímil</v>
      </c>
      <c r="K344" s="3" t="s">
        <v>67</v>
      </c>
    </row>
    <row r="345" spans="1:11" ht="42" customHeight="1">
      <c r="A345" s="2" t="s">
        <v>1028</v>
      </c>
      <c r="B345" s="2" t="s">
        <v>1029</v>
      </c>
      <c r="C345" s="2" t="s">
        <v>80</v>
      </c>
      <c r="D345" s="2" t="s">
        <v>81</v>
      </c>
      <c r="E345" s="5">
        <v>-29575</v>
      </c>
      <c r="F345" s="3" t="s">
        <v>77</v>
      </c>
      <c r="G345" s="3" t="s">
        <v>28</v>
      </c>
      <c r="H345" s="2" t="s">
        <v>65</v>
      </c>
      <c r="I345" s="2" t="s">
        <v>1030</v>
      </c>
      <c r="J345" s="3" t="str">
        <f>HYPERLINK("https://www.boe.es/gazeta/dias/1819/01/09/pdfs/GMD-1819-4.pdf#page=8","Abrir facsímil")</f>
        <v>Abrir facsímil</v>
      </c>
      <c r="K345" s="3" t="s">
        <v>67</v>
      </c>
    </row>
    <row r="346" spans="1:11" ht="42" customHeight="1">
      <c r="A346" s="2" t="s">
        <v>1031</v>
      </c>
      <c r="B346" s="2" t="s">
        <v>1032</v>
      </c>
      <c r="C346" s="2" t="s">
        <v>80</v>
      </c>
      <c r="D346" s="2" t="s">
        <v>81</v>
      </c>
      <c r="E346" s="5">
        <v>-29255</v>
      </c>
      <c r="F346" s="3" t="s">
        <v>357</v>
      </c>
      <c r="G346" s="3" t="s">
        <v>358</v>
      </c>
      <c r="H346" s="2" t="s">
        <v>65</v>
      </c>
      <c r="I346" s="2" t="s">
        <v>1033</v>
      </c>
      <c r="J346" s="3" t="str">
        <f>HYPERLINK("https://www.boe.es/gazeta/dias/1819/11/25/pdfs/GMD-1819-145.pdf#page=6","Abrir facsímil")</f>
        <v>Abrir facsímil</v>
      </c>
      <c r="K346" s="3" t="s">
        <v>67</v>
      </c>
    </row>
    <row r="347" spans="1:11" ht="42" customHeight="1">
      <c r="A347" s="2" t="s">
        <v>1034</v>
      </c>
      <c r="B347" s="2" t="s">
        <v>1035</v>
      </c>
      <c r="C347" s="2" t="s">
        <v>80</v>
      </c>
      <c r="D347" s="2" t="s">
        <v>81</v>
      </c>
      <c r="E347" s="5">
        <v>-29544</v>
      </c>
      <c r="F347" s="3" t="s">
        <v>531</v>
      </c>
      <c r="G347" s="3" t="s">
        <v>38</v>
      </c>
      <c r="H347" s="2" t="s">
        <v>65</v>
      </c>
      <c r="I347" s="2" t="s">
        <v>1036</v>
      </c>
      <c r="J347" s="3" t="str">
        <f>HYPERLINK("https://www.boe.es/gazeta/dias/1819/02/09/pdfs/GMD-1819-17.pdf#page=5","Abrir facsímil")</f>
        <v>Abrir facsímil</v>
      </c>
      <c r="K347" s="3" t="s">
        <v>67</v>
      </c>
    </row>
    <row r="348" spans="1:11" ht="42" customHeight="1">
      <c r="A348" s="2" t="s">
        <v>1037</v>
      </c>
      <c r="B348" s="2" t="s">
        <v>1038</v>
      </c>
      <c r="C348" s="2" t="s">
        <v>63</v>
      </c>
      <c r="D348" s="2" t="s">
        <v>43</v>
      </c>
      <c r="E348" s="5">
        <v>-29516</v>
      </c>
      <c r="F348" s="3" t="s">
        <v>137</v>
      </c>
      <c r="G348" s="3" t="s">
        <v>138</v>
      </c>
      <c r="H348" s="2" t="s">
        <v>65</v>
      </c>
      <c r="I348" s="2" t="s">
        <v>1039</v>
      </c>
      <c r="J348" s="3" t="str">
        <f>HYPERLINK("https://www.boe.es/gazeta/dias/1819/03/09/pdfs/GMD-1819-29.pdf#page=12","Abrir facsímil")</f>
        <v>Abrir facsímil</v>
      </c>
      <c r="K348" s="3" t="s">
        <v>67</v>
      </c>
    </row>
    <row r="349" spans="1:11" ht="42" customHeight="1">
      <c r="A349" s="2" t="s">
        <v>1040</v>
      </c>
      <c r="B349" s="2" t="s">
        <v>1041</v>
      </c>
      <c r="C349" s="2" t="s">
        <v>59</v>
      </c>
      <c r="D349" s="2" t="s">
        <v>18</v>
      </c>
      <c r="E349" s="5">
        <v>-29271</v>
      </c>
      <c r="F349" s="3" t="s">
        <v>32</v>
      </c>
      <c r="G349" s="3" t="s">
        <v>33</v>
      </c>
      <c r="H349" s="2" t="s">
        <v>21</v>
      </c>
      <c r="I349" s="2" t="s">
        <v>1042</v>
      </c>
      <c r="J349" s="3" t="str">
        <f>HYPERLINK("https://www.boe.es/gazeta/dias/1819/11/09/pdfs/GMD-1819-138.pdf#page=6","Abrir facsímil")</f>
        <v>Abrir facsímil</v>
      </c>
      <c r="K349" s="3" t="s">
        <v>23</v>
      </c>
    </row>
    <row r="350" spans="1:11" ht="42" customHeight="1">
      <c r="A350" s="2" t="s">
        <v>1043</v>
      </c>
      <c r="B350" s="2" t="s">
        <v>1044</v>
      </c>
      <c r="C350" s="2" t="s">
        <v>80</v>
      </c>
      <c r="D350" s="2" t="s">
        <v>81</v>
      </c>
      <c r="E350" s="5">
        <v>-29269</v>
      </c>
      <c r="F350" s="3" t="s">
        <v>565</v>
      </c>
      <c r="G350" s="3" t="s">
        <v>296</v>
      </c>
      <c r="H350" s="2" t="s">
        <v>21</v>
      </c>
      <c r="I350" s="2" t="s">
        <v>1045</v>
      </c>
      <c r="J350" s="3" t="str">
        <f>HYPERLINK("https://www.boe.es/gazeta/dias/1819/11/11/pdfs/GMD-1819-139.pdf#page=4","Abrir facsímil")</f>
        <v>Abrir facsímil</v>
      </c>
      <c r="K350" s="3" t="s">
        <v>23</v>
      </c>
    </row>
    <row r="351" spans="1:11" ht="42" customHeight="1">
      <c r="A351" s="2" t="s">
        <v>1046</v>
      </c>
      <c r="B351" s="2" t="s">
        <v>1047</v>
      </c>
      <c r="C351" s="2" t="s">
        <v>63</v>
      </c>
      <c r="D351" s="2" t="s">
        <v>43</v>
      </c>
      <c r="E351" s="5">
        <v>-29253</v>
      </c>
      <c r="F351" s="3" t="s">
        <v>242</v>
      </c>
      <c r="G351" s="3" t="s">
        <v>1048</v>
      </c>
      <c r="H351" s="2" t="s">
        <v>21</v>
      </c>
      <c r="I351" s="2" t="s">
        <v>1049</v>
      </c>
      <c r="J351" s="3" t="str">
        <f>HYPERLINK("https://www.boe.es/gazeta/dias/1819/11/27/pdfs/GMD-1819-146.pdf#page=5","Abrir facsímil")</f>
        <v>Abrir facsímil</v>
      </c>
      <c r="K351" s="3" t="s">
        <v>23</v>
      </c>
    </row>
    <row r="352" spans="1:11" ht="42" customHeight="1">
      <c r="A352" s="2" t="s">
        <v>1050</v>
      </c>
      <c r="B352" s="2" t="s">
        <v>1051</v>
      </c>
      <c r="C352" s="2" t="s">
        <v>17</v>
      </c>
      <c r="D352" s="2" t="s">
        <v>18</v>
      </c>
      <c r="E352" s="5">
        <v>-29253</v>
      </c>
      <c r="F352" s="3" t="s">
        <v>242</v>
      </c>
      <c r="G352" s="3" t="s">
        <v>1048</v>
      </c>
      <c r="H352" s="2" t="s">
        <v>21</v>
      </c>
      <c r="I352" s="2" t="s">
        <v>1052</v>
      </c>
      <c r="J352" s="3" t="str">
        <f>HYPERLINK("https://www.boe.es/gazeta/dias/1819/11/27/pdfs/GMD-1819-146.pdf#page=5","Abrir facsímil")</f>
        <v>Abrir facsímil</v>
      </c>
      <c r="K352" s="3" t="s">
        <v>23</v>
      </c>
    </row>
    <row r="353" spans="1:11" ht="42" customHeight="1">
      <c r="A353" s="2" t="s">
        <v>1053</v>
      </c>
      <c r="B353" s="2" t="s">
        <v>1054</v>
      </c>
      <c r="C353" s="2" t="s">
        <v>17</v>
      </c>
      <c r="D353" s="2" t="s">
        <v>18</v>
      </c>
      <c r="E353" s="5">
        <v>-29255</v>
      </c>
      <c r="F353" s="3" t="s">
        <v>357</v>
      </c>
      <c r="G353" s="3" t="s">
        <v>28</v>
      </c>
      <c r="H353" s="2" t="s">
        <v>21</v>
      </c>
      <c r="I353" s="2" t="s">
        <v>1055</v>
      </c>
      <c r="J353" s="3" t="str">
        <f>HYPERLINK("https://www.boe.es/gazeta/dias/1819/11/25/pdfs/GMD-1819-145.pdf#page=8","Abrir facsímil")</f>
        <v>Abrir facsímil</v>
      </c>
      <c r="K353" s="3" t="s">
        <v>23</v>
      </c>
    </row>
    <row r="354" spans="1:11" ht="42" customHeight="1">
      <c r="A354" s="2" t="s">
        <v>1056</v>
      </c>
      <c r="B354" s="2" t="s">
        <v>1057</v>
      </c>
      <c r="C354" s="2" t="s">
        <v>17</v>
      </c>
      <c r="D354" s="2" t="s">
        <v>18</v>
      </c>
      <c r="E354" s="5">
        <v>-29281</v>
      </c>
      <c r="F354" s="3" t="s">
        <v>19</v>
      </c>
      <c r="G354" s="3" t="s">
        <v>20</v>
      </c>
      <c r="H354" s="2" t="s">
        <v>21</v>
      </c>
      <c r="I354" s="2" t="s">
        <v>1058</v>
      </c>
      <c r="J354" s="3" t="str">
        <f>HYPERLINK("https://www.boe.es/gazeta/dias/1819/10/30/pdfs/GMD-1819-134.pdf#page=10","Abrir facsímil")</f>
        <v>Abrir facsímil</v>
      </c>
      <c r="K354" s="3" t="s">
        <v>23</v>
      </c>
    </row>
    <row r="355" spans="1:11" ht="42" customHeight="1">
      <c r="A355" s="2" t="s">
        <v>1056</v>
      </c>
      <c r="B355" s="2" t="s">
        <v>1057</v>
      </c>
      <c r="C355" s="2" t="s">
        <v>59</v>
      </c>
      <c r="D355" s="2" t="s">
        <v>18</v>
      </c>
      <c r="E355" s="5">
        <v>-29276</v>
      </c>
      <c r="F355" s="3" t="s">
        <v>54</v>
      </c>
      <c r="G355" s="3" t="s">
        <v>55</v>
      </c>
      <c r="H355" s="2" t="s">
        <v>21</v>
      </c>
      <c r="I355" s="2" t="s">
        <v>1059</v>
      </c>
      <c r="J355" s="3" t="str">
        <f>HYPERLINK("https://www.boe.es/gazeta/dias/1819/11/04/pdfs/GMD-1819-136.pdf#page=7","Abrir facsímil")</f>
        <v>Abrir facsímil</v>
      </c>
      <c r="K355" s="3" t="s">
        <v>23</v>
      </c>
    </row>
    <row r="356" spans="1:11" ht="42" customHeight="1">
      <c r="A356" s="2" t="s">
        <v>1056</v>
      </c>
      <c r="B356" s="2" t="s">
        <v>1057</v>
      </c>
      <c r="C356" s="2" t="s">
        <v>17</v>
      </c>
      <c r="D356" s="2" t="s">
        <v>18</v>
      </c>
      <c r="E356" s="5">
        <v>-29271</v>
      </c>
      <c r="F356" s="3" t="s">
        <v>32</v>
      </c>
      <c r="G356" s="3" t="s">
        <v>33</v>
      </c>
      <c r="H356" s="2" t="s">
        <v>21</v>
      </c>
      <c r="I356" s="2" t="s">
        <v>1060</v>
      </c>
      <c r="J356" s="3" t="str">
        <f>HYPERLINK("https://www.boe.es/gazeta/dias/1819/11/09/pdfs/GMD-1819-138.pdf#page=6","Abrir facsímil")</f>
        <v>Abrir facsímil</v>
      </c>
      <c r="K356" s="3" t="s">
        <v>23</v>
      </c>
    </row>
    <row r="357" spans="1:11" ht="42" customHeight="1">
      <c r="A357" s="2" t="s">
        <v>1061</v>
      </c>
      <c r="B357" s="2" t="s">
        <v>1062</v>
      </c>
      <c r="C357" s="2" t="s">
        <v>26</v>
      </c>
      <c r="D357" s="2" t="s">
        <v>18</v>
      </c>
      <c r="E357" s="5">
        <v>-29526</v>
      </c>
      <c r="F357" s="3" t="s">
        <v>307</v>
      </c>
      <c r="G357" s="3" t="s">
        <v>28</v>
      </c>
      <c r="H357" s="2" t="s">
        <v>21</v>
      </c>
      <c r="I357" s="2" t="s">
        <v>1063</v>
      </c>
      <c r="J357" s="3" t="str">
        <f>HYPERLINK("https://www.boe.es/gazeta/dias/1819/02/27/pdfs/GMD-1819-25.pdf#page=8","Abrir facsímil")</f>
        <v>Abrir facsímil</v>
      </c>
      <c r="K357" s="3" t="s">
        <v>23</v>
      </c>
    </row>
    <row r="358" spans="1:11" ht="42" customHeight="1">
      <c r="A358" s="2" t="s">
        <v>1064</v>
      </c>
      <c r="B358" s="2" t="s">
        <v>1065</v>
      </c>
      <c r="C358" s="2" t="s">
        <v>17</v>
      </c>
      <c r="D358" s="2" t="s">
        <v>18</v>
      </c>
      <c r="E358" s="5">
        <v>-29248</v>
      </c>
      <c r="F358" s="3" t="s">
        <v>395</v>
      </c>
      <c r="G358" s="3" t="s">
        <v>33</v>
      </c>
      <c r="H358" s="2" t="s">
        <v>21</v>
      </c>
      <c r="I358" s="2" t="s">
        <v>1066</v>
      </c>
      <c r="J358" s="3" t="str">
        <f>HYPERLINK("https://www.boe.es/gazeta/dias/1819/12/02/pdfs/GMD-1819-148.pdf#page=6","Abrir facsímil")</f>
        <v>Abrir facsímil</v>
      </c>
      <c r="K358" s="3" t="s">
        <v>23</v>
      </c>
    </row>
    <row r="359" spans="1:11" ht="42" customHeight="1">
      <c r="A359" s="2" t="s">
        <v>1067</v>
      </c>
      <c r="B359" s="2" t="s">
        <v>1068</v>
      </c>
      <c r="C359" s="2" t="s">
        <v>26</v>
      </c>
      <c r="D359" s="2" t="s">
        <v>18</v>
      </c>
      <c r="E359" s="5">
        <v>-29229</v>
      </c>
      <c r="F359" s="3" t="s">
        <v>44</v>
      </c>
      <c r="G359" s="3" t="s">
        <v>38</v>
      </c>
      <c r="H359" s="2" t="s">
        <v>21</v>
      </c>
      <c r="I359" s="2" t="s">
        <v>1069</v>
      </c>
      <c r="J359" s="3" t="str">
        <f>HYPERLINK("https://www.boe.es/gazeta/dias/1819/12/21/pdfs/GMD-1819-156.pdf#page=5","Abrir facsímil")</f>
        <v>Abrir facsímil</v>
      </c>
      <c r="K359" s="3" t="s">
        <v>23</v>
      </c>
    </row>
    <row r="360" spans="1:11" ht="42" customHeight="1">
      <c r="A360" s="2" t="s">
        <v>1070</v>
      </c>
      <c r="B360" s="2" t="s">
        <v>1071</v>
      </c>
      <c r="C360" s="2" t="s">
        <v>59</v>
      </c>
      <c r="D360" s="2" t="s">
        <v>18</v>
      </c>
      <c r="E360" s="5">
        <v>-29271</v>
      </c>
      <c r="F360" s="3" t="s">
        <v>32</v>
      </c>
      <c r="G360" s="3" t="s">
        <v>33</v>
      </c>
      <c r="H360" s="2" t="s">
        <v>21</v>
      </c>
      <c r="I360" s="2" t="s">
        <v>1072</v>
      </c>
      <c r="J360" s="3" t="str">
        <f>HYPERLINK("https://www.boe.es/gazeta/dias/1819/11/09/pdfs/GMD-1819-138.pdf#page=6","Abrir facsímil")</f>
        <v>Abrir facsímil</v>
      </c>
      <c r="K360" s="3" t="s">
        <v>23</v>
      </c>
    </row>
    <row r="361" spans="1:11" ht="42" customHeight="1">
      <c r="A361" s="2" t="s">
        <v>1073</v>
      </c>
      <c r="B361" s="2" t="s">
        <v>1074</v>
      </c>
      <c r="C361" s="2" t="s">
        <v>63</v>
      </c>
      <c r="D361" s="2" t="s">
        <v>43</v>
      </c>
      <c r="E361" s="5">
        <v>-29264</v>
      </c>
      <c r="F361" s="3" t="s">
        <v>37</v>
      </c>
      <c r="G361" s="3" t="s">
        <v>38</v>
      </c>
      <c r="H361" s="2" t="s">
        <v>21</v>
      </c>
      <c r="I361" s="2" t="s">
        <v>1075</v>
      </c>
      <c r="J361" s="3" t="str">
        <f>HYPERLINK("https://www.boe.es/gazeta/dias/1819/11/16/pdfs/GMD-1819-141.pdf#page=5","Abrir facsímil")</f>
        <v>Abrir facsímil</v>
      </c>
      <c r="K361" s="3" t="s">
        <v>23</v>
      </c>
    </row>
    <row r="362" spans="1:11" ht="42" customHeight="1">
      <c r="A362" s="2" t="s">
        <v>1076</v>
      </c>
      <c r="B362" s="2" t="s">
        <v>1077</v>
      </c>
      <c r="C362" s="2" t="s">
        <v>80</v>
      </c>
      <c r="D362" s="2" t="s">
        <v>454</v>
      </c>
      <c r="E362" s="5">
        <v>-29287</v>
      </c>
      <c r="F362" s="3" t="s">
        <v>455</v>
      </c>
      <c r="G362" s="3" t="s">
        <v>456</v>
      </c>
      <c r="H362" s="2" t="s">
        <v>65</v>
      </c>
      <c r="I362" s="2" t="s">
        <v>1078</v>
      </c>
      <c r="J362" s="3" t="str">
        <f>HYPERLINK("https://www.boe.es/gazeta/dias/1819/10/24/pdfs/GMD-1819-131E.pdf#page=9","Abrir facsímil")</f>
        <v>Abrir facsímil</v>
      </c>
      <c r="K362" s="3" t="s">
        <v>67</v>
      </c>
    </row>
    <row r="363" spans="1:11" ht="42" customHeight="1">
      <c r="A363" s="2" t="s">
        <v>1079</v>
      </c>
      <c r="B363" s="2" t="s">
        <v>1080</v>
      </c>
      <c r="C363" s="2" t="s">
        <v>80</v>
      </c>
      <c r="D363" s="2" t="s">
        <v>81</v>
      </c>
      <c r="E363" s="5">
        <v>-29472</v>
      </c>
      <c r="F363" s="3" t="s">
        <v>393</v>
      </c>
      <c r="G363" s="3" t="s">
        <v>33</v>
      </c>
      <c r="H363" s="2" t="s">
        <v>65</v>
      </c>
      <c r="I363" s="2" t="s">
        <v>1081</v>
      </c>
      <c r="J363" s="3" t="str">
        <f>HYPERLINK("https://www.boe.es/gazeta/dias/1819/04/22/pdfs/GMD-1819-48.pdf#page=6","Abrir facsímil")</f>
        <v>Abrir facsímil</v>
      </c>
      <c r="K363" s="3" t="s">
        <v>67</v>
      </c>
    </row>
    <row r="364" spans="1:11" ht="42" customHeight="1">
      <c r="A364" s="2" t="s">
        <v>1082</v>
      </c>
      <c r="B364" s="2" t="s">
        <v>1083</v>
      </c>
      <c r="C364" s="2" t="s">
        <v>80</v>
      </c>
      <c r="D364" s="2" t="s">
        <v>81</v>
      </c>
      <c r="E364" s="5">
        <v>-29579</v>
      </c>
      <c r="F364" s="3" t="s">
        <v>186</v>
      </c>
      <c r="G364" s="3" t="s">
        <v>55</v>
      </c>
      <c r="H364" s="2" t="s">
        <v>65</v>
      </c>
      <c r="I364" s="2" t="s">
        <v>1084</v>
      </c>
      <c r="J364" s="3" t="str">
        <f>HYPERLINK("https://www.boe.es/gazeta/dias/1819/01/05/pdfs/GMD-1819-2.pdf#page=7","Abrir facsímil")</f>
        <v>Abrir facsímil</v>
      </c>
      <c r="K364" s="3" t="s">
        <v>67</v>
      </c>
    </row>
    <row r="365" spans="1:11" ht="42" customHeight="1">
      <c r="A365" s="2" t="s">
        <v>1085</v>
      </c>
      <c r="B365" s="2" t="s">
        <v>1086</v>
      </c>
      <c r="C365" s="2" t="s">
        <v>80</v>
      </c>
      <c r="D365" s="2" t="s">
        <v>81</v>
      </c>
      <c r="E365" s="5">
        <v>-29563</v>
      </c>
      <c r="F365" s="3" t="s">
        <v>1087</v>
      </c>
      <c r="G365" s="3" t="s">
        <v>33</v>
      </c>
      <c r="H365" s="2" t="s">
        <v>65</v>
      </c>
      <c r="I365" s="2" t="s">
        <v>1088</v>
      </c>
      <c r="J365" s="3" t="str">
        <f>HYPERLINK("https://www.boe.es/gazeta/dias/1819/01/21/pdfs/GMD-1819-9.pdf#page=6","Abrir facsímil")</f>
        <v>Abrir facsímil</v>
      </c>
      <c r="K365" s="3" t="s">
        <v>67</v>
      </c>
    </row>
    <row r="366" spans="1:11" ht="42" customHeight="1">
      <c r="A366" s="2" t="s">
        <v>1089</v>
      </c>
      <c r="B366" s="2" t="s">
        <v>1090</v>
      </c>
      <c r="C366" s="2" t="s">
        <v>136</v>
      </c>
      <c r="D366" s="2" t="s">
        <v>18</v>
      </c>
      <c r="E366" s="5">
        <v>-29402</v>
      </c>
      <c r="F366" s="3" t="s">
        <v>1091</v>
      </c>
      <c r="G366" s="3" t="s">
        <v>38</v>
      </c>
      <c r="H366" s="2" t="s">
        <v>65</v>
      </c>
      <c r="I366" s="2" t="s">
        <v>1092</v>
      </c>
      <c r="J366" s="3" t="str">
        <f>HYPERLINK("https://www.boe.es/gazeta/dias/1819/07/01/pdfs/GMD-1819-79.pdf#page=5","Abrir facsímil")</f>
        <v>Abrir facsímil</v>
      </c>
      <c r="K366" s="3" t="s">
        <v>67</v>
      </c>
    </row>
    <row r="367" spans="1:11" ht="42" customHeight="1">
      <c r="A367" s="2" t="s">
        <v>1093</v>
      </c>
      <c r="B367" s="2" t="s">
        <v>1094</v>
      </c>
      <c r="C367" s="2" t="s">
        <v>59</v>
      </c>
      <c r="D367" s="2" t="s">
        <v>18</v>
      </c>
      <c r="E367" s="5">
        <v>-29509</v>
      </c>
      <c r="F367" s="3" t="s">
        <v>942</v>
      </c>
      <c r="G367" s="3" t="s">
        <v>33</v>
      </c>
      <c r="H367" s="2" t="s">
        <v>65</v>
      </c>
      <c r="I367" s="2" t="s">
        <v>1095</v>
      </c>
      <c r="J367" s="3" t="str">
        <f>HYPERLINK("https://www.boe.es/gazeta/dias/1819/03/16/pdfs/GMD-1819-32.pdf#page=6","Abrir facsímil")</f>
        <v>Abrir facsímil</v>
      </c>
      <c r="K367" s="3" t="s">
        <v>67</v>
      </c>
    </row>
    <row r="368" spans="1:11" ht="42" customHeight="1">
      <c r="A368" s="2" t="s">
        <v>1096</v>
      </c>
      <c r="B368" s="2" t="s">
        <v>1097</v>
      </c>
      <c r="C368" s="2" t="s">
        <v>63</v>
      </c>
      <c r="D368" s="2" t="s">
        <v>43</v>
      </c>
      <c r="E368" s="5">
        <v>-29337</v>
      </c>
      <c r="F368" s="3" t="s">
        <v>1098</v>
      </c>
      <c r="G368" s="3" t="s">
        <v>28</v>
      </c>
      <c r="H368" s="2" t="s">
        <v>65</v>
      </c>
      <c r="I368" s="2" t="s">
        <v>1099</v>
      </c>
      <c r="J368" s="3" t="str">
        <f>HYPERLINK("https://www.boe.es/gazeta/dias/1819/09/04/pdfs/GMD-1819-108.pdf#page=8","Abrir facsímil")</f>
        <v>Abrir facsímil</v>
      </c>
      <c r="K368" s="3" t="s">
        <v>67</v>
      </c>
    </row>
    <row r="369" spans="1:11" ht="42" customHeight="1">
      <c r="A369" s="2" t="s">
        <v>1100</v>
      </c>
      <c r="B369" s="2" t="s">
        <v>1100</v>
      </c>
      <c r="C369" s="2" t="s">
        <v>80</v>
      </c>
      <c r="D369" s="2" t="s">
        <v>81</v>
      </c>
      <c r="E369" s="5">
        <v>-29439</v>
      </c>
      <c r="F369" s="3" t="s">
        <v>1101</v>
      </c>
      <c r="G369" s="3" t="s">
        <v>296</v>
      </c>
      <c r="H369" s="2" t="s">
        <v>65</v>
      </c>
      <c r="I369" s="2" t="s">
        <v>1102</v>
      </c>
      <c r="J369" s="3" t="str">
        <f>HYPERLINK("https://www.boe.es/gazeta/dias/1819/05/25/pdfs/GMD-1819-62.pdf#page=4","Abrir facsímil")</f>
        <v>Abrir facsímil</v>
      </c>
      <c r="K369" s="3" t="s">
        <v>67</v>
      </c>
    </row>
    <row r="370" spans="1:11" ht="42" customHeight="1">
      <c r="A370" s="2" t="s">
        <v>1103</v>
      </c>
      <c r="B370" s="2" t="s">
        <v>1103</v>
      </c>
      <c r="C370" s="2" t="s">
        <v>80</v>
      </c>
      <c r="D370" s="2" t="s">
        <v>81</v>
      </c>
      <c r="E370" s="5">
        <v>-29439</v>
      </c>
      <c r="F370" s="3" t="s">
        <v>1101</v>
      </c>
      <c r="G370" s="3" t="s">
        <v>296</v>
      </c>
      <c r="H370" s="2" t="s">
        <v>65</v>
      </c>
      <c r="I370" s="2" t="s">
        <v>1104</v>
      </c>
      <c r="J370" s="3" t="str">
        <f>HYPERLINK("https://www.boe.es/gazeta/dias/1819/05/25/pdfs/GMD-1819-62.pdf#page=4","Abrir facsímil")</f>
        <v>Abrir facsímil</v>
      </c>
      <c r="K370" s="3" t="s">
        <v>67</v>
      </c>
    </row>
    <row r="371" spans="1:11" ht="42" customHeight="1">
      <c r="A371" s="2" t="s">
        <v>1105</v>
      </c>
      <c r="B371" s="2" t="s">
        <v>1106</v>
      </c>
      <c r="C371" s="2" t="s">
        <v>80</v>
      </c>
      <c r="D371" s="2" t="s">
        <v>81</v>
      </c>
      <c r="E371" s="5">
        <v>-29276</v>
      </c>
      <c r="F371" s="3" t="s">
        <v>54</v>
      </c>
      <c r="G371" s="3" t="s">
        <v>1107</v>
      </c>
      <c r="H371" s="2" t="s">
        <v>65</v>
      </c>
      <c r="I371" s="2" t="s">
        <v>1108</v>
      </c>
      <c r="J371" s="3" t="str">
        <f>HYPERLINK("https://www.boe.es/gazeta/dias/1819/11/04/pdfs/GMD-1819-136.pdf#page=5","Abrir facsímil")</f>
        <v>Abrir facsímil</v>
      </c>
      <c r="K371" s="3" t="s">
        <v>67</v>
      </c>
    </row>
    <row r="372" spans="1:11" ht="42" customHeight="1">
      <c r="A372" s="2" t="s">
        <v>1109</v>
      </c>
      <c r="B372" s="2" t="s">
        <v>1109</v>
      </c>
      <c r="C372" s="2" t="s">
        <v>80</v>
      </c>
      <c r="D372" s="2" t="s">
        <v>81</v>
      </c>
      <c r="E372" s="5">
        <v>-29309</v>
      </c>
      <c r="F372" s="3" t="s">
        <v>476</v>
      </c>
      <c r="G372" s="3" t="s">
        <v>477</v>
      </c>
      <c r="H372" s="2" t="s">
        <v>65</v>
      </c>
      <c r="I372" s="2" t="s">
        <v>1110</v>
      </c>
      <c r="J372" s="3" t="str">
        <f>HYPERLINK("https://www.boe.es/gazeta/dias/1819/10/02/pdfs/GMD-1819-121.pdf#page=6","Abrir facsímil")</f>
        <v>Abrir facsímil</v>
      </c>
      <c r="K372" s="3" t="s">
        <v>67</v>
      </c>
    </row>
    <row r="373" spans="1:11" ht="42" customHeight="1">
      <c r="A373" s="2" t="s">
        <v>1111</v>
      </c>
      <c r="B373" s="2" t="s">
        <v>1112</v>
      </c>
      <c r="C373" s="2" t="s">
        <v>80</v>
      </c>
      <c r="D373" s="2" t="s">
        <v>454</v>
      </c>
      <c r="E373" s="5">
        <v>-29287</v>
      </c>
      <c r="F373" s="3" t="s">
        <v>455</v>
      </c>
      <c r="G373" s="3" t="s">
        <v>1113</v>
      </c>
      <c r="H373" s="2" t="s">
        <v>65</v>
      </c>
      <c r="I373" s="2" t="s">
        <v>1114</v>
      </c>
      <c r="J373" s="3" t="str">
        <f>HYPERLINK("https://www.boe.es/gazeta/dias/1819/10/24/pdfs/GMD-1819-131E.pdf#page=7","Abrir facsímil")</f>
        <v>Abrir facsímil</v>
      </c>
      <c r="K373" s="3" t="s">
        <v>67</v>
      </c>
    </row>
    <row r="374" spans="1:11" ht="42" customHeight="1">
      <c r="A374" s="2" t="s">
        <v>1115</v>
      </c>
      <c r="B374" s="2" t="s">
        <v>1116</v>
      </c>
      <c r="C374" s="2" t="s">
        <v>59</v>
      </c>
      <c r="D374" s="2" t="s">
        <v>18</v>
      </c>
      <c r="E374" s="5">
        <v>-29355</v>
      </c>
      <c r="F374" s="3" t="s">
        <v>347</v>
      </c>
      <c r="G374" s="3" t="s">
        <v>348</v>
      </c>
      <c r="H374" s="2" t="s">
        <v>65</v>
      </c>
      <c r="I374" s="2" t="s">
        <v>1117</v>
      </c>
      <c r="J374" s="3" t="str">
        <f>HYPERLINK("https://www.boe.es/gazeta/dias/1819/08/17/pdfs/GMD-1819-99.pdf#page=6","Abrir facsímil")</f>
        <v>Abrir facsímil</v>
      </c>
      <c r="K374" s="3" t="s">
        <v>67</v>
      </c>
    </row>
    <row r="375" spans="1:11" ht="42" customHeight="1">
      <c r="A375" s="2" t="s">
        <v>1118</v>
      </c>
      <c r="B375" s="2" t="s">
        <v>1119</v>
      </c>
      <c r="C375" s="2" t="s">
        <v>80</v>
      </c>
      <c r="D375" s="2" t="s">
        <v>81</v>
      </c>
      <c r="E375" s="5">
        <v>-29316</v>
      </c>
      <c r="F375" s="3" t="s">
        <v>166</v>
      </c>
      <c r="G375" s="3" t="s">
        <v>55</v>
      </c>
      <c r="H375" s="2" t="s">
        <v>65</v>
      </c>
      <c r="I375" s="2" t="s">
        <v>1120</v>
      </c>
      <c r="J375" s="3" t="str">
        <f>HYPERLINK("https://www.boe.es/gazeta/dias/1819/09/25/pdfs/GMD-1819-118.pdf#page=7","Abrir facsímil")</f>
        <v>Abrir facsímil</v>
      </c>
      <c r="K375" s="3" t="s">
        <v>67</v>
      </c>
    </row>
    <row r="376" spans="1:11" ht="42" customHeight="1">
      <c r="A376" s="2" t="s">
        <v>1121</v>
      </c>
      <c r="B376" s="2" t="s">
        <v>1121</v>
      </c>
      <c r="C376" s="2" t="s">
        <v>80</v>
      </c>
      <c r="D376" s="2" t="s">
        <v>81</v>
      </c>
      <c r="E376" s="5">
        <v>-29288</v>
      </c>
      <c r="F376" s="3" t="s">
        <v>334</v>
      </c>
      <c r="G376" s="3" t="s">
        <v>1122</v>
      </c>
      <c r="H376" s="2" t="s">
        <v>65</v>
      </c>
      <c r="I376" s="2" t="s">
        <v>1123</v>
      </c>
      <c r="J376" s="3" t="str">
        <f>HYPERLINK("https://www.boe.es/gazeta/dias/1819/10/23/pdfs/GMD-1819-130.pdf#page=5","Abrir facsímil")</f>
        <v>Abrir facsímil</v>
      </c>
      <c r="K376" s="3" t="s">
        <v>67</v>
      </c>
    </row>
    <row r="377" spans="1:11" ht="42" customHeight="1">
      <c r="A377" s="2" t="s">
        <v>1124</v>
      </c>
      <c r="B377" s="2" t="s">
        <v>1125</v>
      </c>
      <c r="C377" s="2" t="s">
        <v>136</v>
      </c>
      <c r="D377" s="2" t="s">
        <v>18</v>
      </c>
      <c r="E377" s="5">
        <v>-29274</v>
      </c>
      <c r="F377" s="3" t="s">
        <v>247</v>
      </c>
      <c r="G377" s="3" t="s">
        <v>28</v>
      </c>
      <c r="H377" s="2" t="s">
        <v>65</v>
      </c>
      <c r="I377" s="2" t="s">
        <v>1126</v>
      </c>
      <c r="J377" s="3" t="str">
        <f>HYPERLINK("https://www.boe.es/gazeta/dias/1819/11/06/pdfs/GMD-1819-137.pdf#page=8","Abrir facsímil")</f>
        <v>Abrir facsímil</v>
      </c>
      <c r="K377" s="3" t="s">
        <v>67</v>
      </c>
    </row>
    <row r="378" spans="1:11" ht="42" customHeight="1">
      <c r="A378" s="2" t="s">
        <v>1127</v>
      </c>
      <c r="B378" s="2" t="s">
        <v>1128</v>
      </c>
      <c r="C378" s="2" t="s">
        <v>136</v>
      </c>
      <c r="D378" s="2" t="s">
        <v>18</v>
      </c>
      <c r="E378" s="5">
        <v>-29500</v>
      </c>
      <c r="F378" s="3" t="s">
        <v>212</v>
      </c>
      <c r="G378" s="3" t="s">
        <v>55</v>
      </c>
      <c r="H378" s="2" t="s">
        <v>65</v>
      </c>
      <c r="I378" s="2" t="s">
        <v>1129</v>
      </c>
      <c r="J378" s="3" t="str">
        <f>HYPERLINK("https://www.boe.es/gazeta/dias/1819/03/25/pdfs/GMD-1819-36.pdf#page=7","Abrir facsímil")</f>
        <v>Abrir facsímil</v>
      </c>
      <c r="K378" s="3" t="s">
        <v>67</v>
      </c>
    </row>
    <row r="379" spans="1:11" ht="42" customHeight="1">
      <c r="A379" s="2" t="s">
        <v>1130</v>
      </c>
      <c r="B379" s="2" t="s">
        <v>1131</v>
      </c>
      <c r="C379" s="2" t="s">
        <v>80</v>
      </c>
      <c r="D379" s="2" t="s">
        <v>454</v>
      </c>
      <c r="E379" s="5">
        <v>-29324</v>
      </c>
      <c r="F379" s="3" t="s">
        <v>914</v>
      </c>
      <c r="G379" s="3" t="s">
        <v>102</v>
      </c>
      <c r="H379" s="2" t="s">
        <v>65</v>
      </c>
      <c r="I379" s="2" t="s">
        <v>1132</v>
      </c>
      <c r="J379" s="3" t="str">
        <f>HYPERLINK("https://www.boe.es/gazeta/dias/1819/09/17/pdfs/GMD-1819-114E.pdf#page=3","Abrir facsímil")</f>
        <v>Abrir facsímil</v>
      </c>
      <c r="K379" s="3" t="s">
        <v>67</v>
      </c>
    </row>
    <row r="380" spans="1:11" ht="42" customHeight="1">
      <c r="A380" s="2" t="s">
        <v>1133</v>
      </c>
      <c r="B380" s="2" t="s">
        <v>1134</v>
      </c>
      <c r="C380" s="2" t="s">
        <v>80</v>
      </c>
      <c r="D380" s="2" t="s">
        <v>81</v>
      </c>
      <c r="E380" s="5">
        <v>-29234</v>
      </c>
      <c r="F380" s="3" t="s">
        <v>343</v>
      </c>
      <c r="G380" s="3" t="s">
        <v>1135</v>
      </c>
      <c r="H380" s="2" t="s">
        <v>65</v>
      </c>
      <c r="I380" s="2" t="s">
        <v>1136</v>
      </c>
      <c r="J380" s="3" t="str">
        <f>HYPERLINK("https://www.boe.es/gazeta/dias/1819/12/16/pdfs/GMD-1819-154.pdf#page=6","Abrir facsímil")</f>
        <v>Abrir facsímil</v>
      </c>
      <c r="K380" s="3" t="s">
        <v>67</v>
      </c>
    </row>
    <row r="381" spans="1:11" ht="42" customHeight="1">
      <c r="A381" s="2" t="s">
        <v>1137</v>
      </c>
      <c r="B381" s="2" t="s">
        <v>1138</v>
      </c>
      <c r="C381" s="2" t="s">
        <v>59</v>
      </c>
      <c r="D381" s="2" t="s">
        <v>18</v>
      </c>
      <c r="E381" s="5">
        <v>-29500</v>
      </c>
      <c r="F381" s="3" t="s">
        <v>212</v>
      </c>
      <c r="G381" s="3" t="s">
        <v>28</v>
      </c>
      <c r="H381" s="2" t="s">
        <v>65</v>
      </c>
      <c r="I381" s="2" t="s">
        <v>1139</v>
      </c>
      <c r="J381" s="3" t="str">
        <f>HYPERLINK("https://www.boe.es/gazeta/dias/1819/03/25/pdfs/GMD-1819-36.pdf#page=8","Abrir facsímil")</f>
        <v>Abrir facsímil</v>
      </c>
      <c r="K381" s="3" t="s">
        <v>67</v>
      </c>
    </row>
    <row r="382" spans="1:11" ht="42" customHeight="1">
      <c r="A382" s="2" t="s">
        <v>1140</v>
      </c>
      <c r="B382" s="2" t="s">
        <v>1140</v>
      </c>
      <c r="C382" s="2" t="s">
        <v>80</v>
      </c>
      <c r="D382" s="2" t="s">
        <v>81</v>
      </c>
      <c r="E382" s="5">
        <v>-29222</v>
      </c>
      <c r="F382" s="3" t="s">
        <v>338</v>
      </c>
      <c r="G382" s="3" t="s">
        <v>55</v>
      </c>
      <c r="H382" s="2" t="s">
        <v>65</v>
      </c>
      <c r="I382" s="2" t="s">
        <v>1141</v>
      </c>
      <c r="J382" s="3" t="str">
        <f>HYPERLINK("https://www.boe.es/gazeta/dias/1819/12/28/pdfs/GMD-1819-159.pdf#page=7","Abrir facsímil")</f>
        <v>Abrir facsímil</v>
      </c>
      <c r="K382" s="3" t="s">
        <v>67</v>
      </c>
    </row>
    <row r="383" spans="1:11" ht="42" customHeight="1">
      <c r="A383" s="2" t="s">
        <v>1142</v>
      </c>
      <c r="B383" s="2" t="s">
        <v>1143</v>
      </c>
      <c r="C383" s="2" t="s">
        <v>136</v>
      </c>
      <c r="D383" s="2" t="s">
        <v>18</v>
      </c>
      <c r="E383" s="5">
        <v>-29288</v>
      </c>
      <c r="F383" s="3" t="s">
        <v>334</v>
      </c>
      <c r="G383" s="3" t="s">
        <v>28</v>
      </c>
      <c r="H383" s="2" t="s">
        <v>65</v>
      </c>
      <c r="I383" s="2" t="s">
        <v>1144</v>
      </c>
      <c r="J383" s="3" t="str">
        <f>HYPERLINK("https://www.boe.es/gazeta/dias/1819/10/23/pdfs/GMD-1819-130.pdf#page=8","Abrir facsímil")</f>
        <v>Abrir facsímil</v>
      </c>
      <c r="K383" s="3" t="s">
        <v>67</v>
      </c>
    </row>
    <row r="384" spans="1:11" ht="42" customHeight="1">
      <c r="A384" s="2" t="s">
        <v>1145</v>
      </c>
      <c r="B384" s="2" t="s">
        <v>1146</v>
      </c>
      <c r="C384" s="2" t="s">
        <v>80</v>
      </c>
      <c r="D384" s="2" t="s">
        <v>81</v>
      </c>
      <c r="E384" s="5">
        <v>-29437</v>
      </c>
      <c r="F384" s="3" t="s">
        <v>1147</v>
      </c>
      <c r="G384" s="3" t="s">
        <v>38</v>
      </c>
      <c r="H384" s="2" t="s">
        <v>65</v>
      </c>
      <c r="I384" s="2" t="s">
        <v>1148</v>
      </c>
      <c r="J384" s="3" t="str">
        <f>HYPERLINK("https://www.boe.es/gazeta/dias/1819/05/27/pdfs/GMD-1819-63.pdf#page=5","Abrir facsímil")</f>
        <v>Abrir facsímil</v>
      </c>
      <c r="K384" s="3" t="s">
        <v>67</v>
      </c>
    </row>
    <row r="385" spans="1:11" ht="42" customHeight="1">
      <c r="A385" s="2" t="s">
        <v>1149</v>
      </c>
      <c r="B385" s="2" t="s">
        <v>1150</v>
      </c>
      <c r="C385" s="2" t="s">
        <v>215</v>
      </c>
      <c r="D385" s="2" t="s">
        <v>18</v>
      </c>
      <c r="E385" s="5">
        <v>-29502</v>
      </c>
      <c r="F385" s="3" t="s">
        <v>86</v>
      </c>
      <c r="G385" s="3" t="s">
        <v>28</v>
      </c>
      <c r="H385" s="2" t="s">
        <v>65</v>
      </c>
      <c r="I385" s="2" t="s">
        <v>1151</v>
      </c>
      <c r="J385" s="3" t="str">
        <f>HYPERLINK("https://www.boe.es/gazeta/dias/1819/03/23/pdfs/GMD-1819-35.pdf#page=8","Abrir facsímil")</f>
        <v>Abrir facsímil</v>
      </c>
      <c r="K385" s="3" t="s">
        <v>67</v>
      </c>
    </row>
    <row r="386" spans="1:11" ht="42" customHeight="1">
      <c r="A386" s="2" t="s">
        <v>1152</v>
      </c>
      <c r="B386" s="2" t="s">
        <v>1153</v>
      </c>
      <c r="C386" s="2" t="s">
        <v>59</v>
      </c>
      <c r="D386" s="2" t="s">
        <v>18</v>
      </c>
      <c r="E386" s="5">
        <v>-29372</v>
      </c>
      <c r="F386" s="3" t="s">
        <v>715</v>
      </c>
      <c r="G386" s="3" t="s">
        <v>1154</v>
      </c>
      <c r="H386" s="2" t="s">
        <v>65</v>
      </c>
      <c r="I386" s="2" t="s">
        <v>1155</v>
      </c>
      <c r="J386" s="3" t="str">
        <f>HYPERLINK("https://www.boe.es/gazeta/dias/1819/07/31/pdfs/GMD-1819-92.pdf#page=7","Abrir facsímil")</f>
        <v>Abrir facsímil</v>
      </c>
      <c r="K386" s="3" t="s">
        <v>67</v>
      </c>
    </row>
    <row r="387" spans="1:11" ht="42" customHeight="1">
      <c r="A387" s="2" t="s">
        <v>1156</v>
      </c>
      <c r="B387" s="2" t="s">
        <v>1157</v>
      </c>
      <c r="C387" s="2" t="s">
        <v>63</v>
      </c>
      <c r="D387" s="2" t="s">
        <v>43</v>
      </c>
      <c r="E387" s="5">
        <v>-29316</v>
      </c>
      <c r="F387" s="3" t="s">
        <v>166</v>
      </c>
      <c r="G387" s="3" t="s">
        <v>38</v>
      </c>
      <c r="H387" s="2" t="s">
        <v>65</v>
      </c>
      <c r="I387" s="2" t="s">
        <v>1158</v>
      </c>
      <c r="J387" s="3" t="str">
        <f>HYPERLINK("https://www.boe.es/gazeta/dias/1819/09/25/pdfs/GMD-1819-118.pdf#page=5","Abrir facsímil")</f>
        <v>Abrir facsímil</v>
      </c>
      <c r="K387" s="3" t="s">
        <v>67</v>
      </c>
    </row>
    <row r="388" spans="1:11" ht="42" customHeight="1">
      <c r="A388" s="2" t="s">
        <v>1159</v>
      </c>
      <c r="B388" s="2" t="s">
        <v>1160</v>
      </c>
      <c r="C388" s="2" t="s">
        <v>59</v>
      </c>
      <c r="D388" s="2" t="s">
        <v>18</v>
      </c>
      <c r="E388" s="5">
        <v>-29281</v>
      </c>
      <c r="F388" s="3" t="s">
        <v>19</v>
      </c>
      <c r="G388" s="3" t="s">
        <v>456</v>
      </c>
      <c r="H388" s="2" t="s">
        <v>65</v>
      </c>
      <c r="I388" s="2" t="s">
        <v>1161</v>
      </c>
      <c r="J388" s="3" t="str">
        <f>HYPERLINK("https://www.boe.es/gazeta/dias/1819/10/30/pdfs/GMD-1819-134.pdf#page=9","Abrir facsímil")</f>
        <v>Abrir facsímil</v>
      </c>
      <c r="K388" s="3" t="s">
        <v>67</v>
      </c>
    </row>
    <row r="389" spans="1:11" ht="42" customHeight="1">
      <c r="A389" s="2" t="s">
        <v>1162</v>
      </c>
      <c r="B389" s="2" t="s">
        <v>1163</v>
      </c>
      <c r="C389" s="2" t="s">
        <v>59</v>
      </c>
      <c r="D389" s="2" t="s">
        <v>18</v>
      </c>
      <c r="E389" s="5">
        <v>-29355</v>
      </c>
      <c r="F389" s="3" t="s">
        <v>347</v>
      </c>
      <c r="G389" s="3" t="s">
        <v>348</v>
      </c>
      <c r="H389" s="2" t="s">
        <v>65</v>
      </c>
      <c r="I389" s="2" t="s">
        <v>1164</v>
      </c>
      <c r="J389" s="3" t="str">
        <f>HYPERLINK("https://www.boe.es/gazeta/dias/1819/08/17/pdfs/GMD-1819-99.pdf#page=6","Abrir facsímil")</f>
        <v>Abrir facsímil</v>
      </c>
      <c r="K389" s="3" t="s">
        <v>67</v>
      </c>
    </row>
    <row r="390" spans="1:11" ht="42" customHeight="1">
      <c r="A390" s="2" t="s">
        <v>1165</v>
      </c>
      <c r="B390" s="2" t="s">
        <v>1166</v>
      </c>
      <c r="C390" s="2" t="s">
        <v>246</v>
      </c>
      <c r="D390" s="2" t="s">
        <v>18</v>
      </c>
      <c r="E390" s="5">
        <v>-29537</v>
      </c>
      <c r="F390" s="3" t="s">
        <v>593</v>
      </c>
      <c r="G390" s="3" t="s">
        <v>94</v>
      </c>
      <c r="H390" s="2" t="s">
        <v>65</v>
      </c>
      <c r="I390" s="2" t="s">
        <v>1167</v>
      </c>
      <c r="J390" s="3" t="str">
        <f>HYPERLINK("https://www.boe.es/gazeta/dias/1819/02/16/pdfs/GMD-1819-20.pdf#page=11","Abrir facsímil")</f>
        <v>Abrir facsímil</v>
      </c>
      <c r="K390" s="3" t="s">
        <v>67</v>
      </c>
    </row>
    <row r="391" spans="1:11" ht="42" customHeight="1">
      <c r="A391" s="2" t="s">
        <v>1168</v>
      </c>
      <c r="B391" s="2" t="s">
        <v>1169</v>
      </c>
      <c r="C391" s="2" t="s">
        <v>59</v>
      </c>
      <c r="D391" s="2" t="s">
        <v>454</v>
      </c>
      <c r="E391" s="5">
        <v>-29287</v>
      </c>
      <c r="F391" s="3" t="s">
        <v>455</v>
      </c>
      <c r="G391" s="3" t="s">
        <v>1113</v>
      </c>
      <c r="H391" s="2" t="s">
        <v>65</v>
      </c>
      <c r="I391" s="2" t="s">
        <v>1170</v>
      </c>
      <c r="J391" s="3" t="str">
        <f>HYPERLINK("https://www.boe.es/gazeta/dias/1819/10/24/pdfs/GMD-1819-131E.pdf#page=7","Abrir facsímil")</f>
        <v>Abrir facsímil</v>
      </c>
      <c r="K391" s="3" t="s">
        <v>67</v>
      </c>
    </row>
    <row r="392" spans="1:11" ht="42" customHeight="1">
      <c r="A392" s="2" t="s">
        <v>1171</v>
      </c>
      <c r="B392" s="2" t="s">
        <v>1172</v>
      </c>
      <c r="C392" s="2" t="s">
        <v>63</v>
      </c>
      <c r="D392" s="2" t="s">
        <v>43</v>
      </c>
      <c r="E392" s="5">
        <v>-29306</v>
      </c>
      <c r="F392" s="3" t="s">
        <v>303</v>
      </c>
      <c r="G392" s="3" t="s">
        <v>28</v>
      </c>
      <c r="H392" s="2" t="s">
        <v>65</v>
      </c>
      <c r="I392" s="2" t="s">
        <v>1173</v>
      </c>
      <c r="J392" s="3" t="str">
        <f>HYPERLINK("https://www.boe.es/gazeta/dias/1819/10/05/pdfs/GMD-1819-122.pdf#page=8","Abrir facsímil")</f>
        <v>Abrir facsímil</v>
      </c>
      <c r="K392" s="3" t="s">
        <v>67</v>
      </c>
    </row>
    <row r="393" spans="1:11" ht="42" customHeight="1">
      <c r="A393" s="2" t="s">
        <v>1174</v>
      </c>
      <c r="B393" s="2" t="s">
        <v>1175</v>
      </c>
      <c r="C393" s="2" t="s">
        <v>80</v>
      </c>
      <c r="D393" s="2" t="s">
        <v>81</v>
      </c>
      <c r="E393" s="5">
        <v>-29269</v>
      </c>
      <c r="F393" s="3" t="s">
        <v>565</v>
      </c>
      <c r="G393" s="3" t="s">
        <v>38</v>
      </c>
      <c r="H393" s="2" t="s">
        <v>65</v>
      </c>
      <c r="I393" s="2" t="s">
        <v>1176</v>
      </c>
      <c r="J393" s="3" t="str">
        <f>HYPERLINK("https://www.boe.es/gazeta/dias/1819/11/11/pdfs/GMD-1819-139.pdf#page=5","Abrir facsímil")</f>
        <v>Abrir facsímil</v>
      </c>
      <c r="K393" s="3" t="s">
        <v>67</v>
      </c>
    </row>
    <row r="394" spans="1:11" ht="42" customHeight="1">
      <c r="A394" s="2" t="s">
        <v>1177</v>
      </c>
      <c r="B394" s="2" t="s">
        <v>1178</v>
      </c>
      <c r="C394" s="2" t="s">
        <v>80</v>
      </c>
      <c r="D394" s="2" t="s">
        <v>81</v>
      </c>
      <c r="E394" s="5">
        <v>-29248</v>
      </c>
      <c r="F394" s="3" t="s">
        <v>395</v>
      </c>
      <c r="G394" s="3" t="s">
        <v>1179</v>
      </c>
      <c r="H394" s="2" t="s">
        <v>65</v>
      </c>
      <c r="I394" s="2" t="s">
        <v>1180</v>
      </c>
      <c r="J394" s="3" t="str">
        <f>HYPERLINK("https://www.boe.es/gazeta/dias/1819/12/02/pdfs/GMD-1819-148.pdf#page=10","Abrir facsímil")</f>
        <v>Abrir facsímil</v>
      </c>
      <c r="K394" s="3" t="s">
        <v>67</v>
      </c>
    </row>
    <row r="395" spans="1:11" ht="42" customHeight="1">
      <c r="A395" s="2" t="s">
        <v>1181</v>
      </c>
      <c r="B395" s="2" t="s">
        <v>1181</v>
      </c>
      <c r="C395" s="2" t="s">
        <v>80</v>
      </c>
      <c r="D395" s="2" t="s">
        <v>81</v>
      </c>
      <c r="E395" s="5">
        <v>-29472</v>
      </c>
      <c r="F395" s="3" t="s">
        <v>393</v>
      </c>
      <c r="G395" s="3" t="s">
        <v>296</v>
      </c>
      <c r="H395" s="2" t="s">
        <v>65</v>
      </c>
      <c r="I395" s="2" t="s">
        <v>1182</v>
      </c>
      <c r="J395" s="3" t="str">
        <f>HYPERLINK("https://www.boe.es/gazeta/dias/1819/04/22/pdfs/GMD-1819-48.pdf#page=4","Abrir facsímil")</f>
        <v>Abrir facsímil</v>
      </c>
      <c r="K395" s="3" t="s">
        <v>67</v>
      </c>
    </row>
    <row r="396" spans="1:11" ht="42" customHeight="1">
      <c r="A396" s="2" t="s">
        <v>1181</v>
      </c>
      <c r="B396" s="2" t="s">
        <v>1181</v>
      </c>
      <c r="C396" s="2" t="s">
        <v>80</v>
      </c>
      <c r="D396" s="2" t="s">
        <v>81</v>
      </c>
      <c r="E396" s="5">
        <v>-29444</v>
      </c>
      <c r="F396" s="3" t="s">
        <v>258</v>
      </c>
      <c r="G396" s="3" t="s">
        <v>55</v>
      </c>
      <c r="H396" s="2" t="s">
        <v>65</v>
      </c>
      <c r="I396" s="2" t="s">
        <v>1183</v>
      </c>
      <c r="J396" s="3" t="str">
        <f>HYPERLINK("https://www.boe.es/gazeta/dias/1819/05/20/pdfs/GMD-1819-60.pdf#page=7","Abrir facsímil")</f>
        <v>Abrir facsímil</v>
      </c>
      <c r="K396" s="3" t="s">
        <v>67</v>
      </c>
    </row>
    <row r="397" spans="1:11" ht="42" customHeight="1">
      <c r="A397" s="2" t="s">
        <v>1184</v>
      </c>
      <c r="B397" s="2" t="s">
        <v>1185</v>
      </c>
      <c r="C397" s="2" t="s">
        <v>80</v>
      </c>
      <c r="D397" s="2" t="s">
        <v>81</v>
      </c>
      <c r="E397" s="5">
        <v>-29472</v>
      </c>
      <c r="F397" s="3" t="s">
        <v>393</v>
      </c>
      <c r="G397" s="3" t="s">
        <v>296</v>
      </c>
      <c r="H397" s="2" t="s">
        <v>65</v>
      </c>
      <c r="I397" s="2" t="s">
        <v>1186</v>
      </c>
      <c r="J397" s="3" t="str">
        <f>HYPERLINK("https://www.boe.es/gazeta/dias/1819/04/22/pdfs/GMD-1819-48.pdf#page=4","Abrir facsímil")</f>
        <v>Abrir facsímil</v>
      </c>
      <c r="K397" s="3" t="s">
        <v>67</v>
      </c>
    </row>
    <row r="398" spans="1:11" ht="42" customHeight="1">
      <c r="A398" s="2" t="s">
        <v>1187</v>
      </c>
      <c r="B398" s="2" t="s">
        <v>1187</v>
      </c>
      <c r="C398" s="2" t="s">
        <v>80</v>
      </c>
      <c r="D398" s="2" t="s">
        <v>81</v>
      </c>
      <c r="E398" s="5">
        <v>-29470</v>
      </c>
      <c r="F398" s="3" t="s">
        <v>1188</v>
      </c>
      <c r="G398" s="3" t="s">
        <v>38</v>
      </c>
      <c r="H398" s="2" t="s">
        <v>65</v>
      </c>
      <c r="I398" s="2" t="s">
        <v>1189</v>
      </c>
      <c r="J398" s="3" t="str">
        <f>HYPERLINK("https://www.boe.es/gazeta/dias/1819/04/24/pdfs/GMD-1819-49.pdf#page=5","Abrir facsímil")</f>
        <v>Abrir facsímil</v>
      </c>
      <c r="K398" s="3" t="s">
        <v>67</v>
      </c>
    </row>
    <row r="399" spans="1:11" ht="42" customHeight="1">
      <c r="A399" s="2" t="s">
        <v>1187</v>
      </c>
      <c r="B399" s="2" t="s">
        <v>1187</v>
      </c>
      <c r="C399" s="2" t="s">
        <v>80</v>
      </c>
      <c r="D399" s="2" t="s">
        <v>81</v>
      </c>
      <c r="E399" s="5">
        <v>-29444</v>
      </c>
      <c r="F399" s="3" t="s">
        <v>258</v>
      </c>
      <c r="G399" s="3" t="s">
        <v>33</v>
      </c>
      <c r="H399" s="2" t="s">
        <v>65</v>
      </c>
      <c r="I399" s="2" t="s">
        <v>1190</v>
      </c>
      <c r="J399" s="3" t="str">
        <f>HYPERLINK("https://www.boe.es/gazeta/dias/1819/05/20/pdfs/GMD-1819-60.pdf#page=6","Abrir facsímil")</f>
        <v>Abrir facsímil</v>
      </c>
      <c r="K399" s="3" t="s">
        <v>67</v>
      </c>
    </row>
    <row r="400" spans="1:11" ht="42" customHeight="1">
      <c r="A400" s="2" t="s">
        <v>1191</v>
      </c>
      <c r="B400" s="2" t="s">
        <v>1192</v>
      </c>
      <c r="C400" s="2" t="s">
        <v>80</v>
      </c>
      <c r="D400" s="2" t="s">
        <v>81</v>
      </c>
      <c r="E400" s="5">
        <v>-29582</v>
      </c>
      <c r="F400" s="3" t="s">
        <v>376</v>
      </c>
      <c r="G400" s="3" t="s">
        <v>544</v>
      </c>
      <c r="H400" s="2" t="s">
        <v>65</v>
      </c>
      <c r="I400" s="2" t="s">
        <v>1193</v>
      </c>
      <c r="J400" s="3" t="str">
        <f>HYPERLINK("https://www.boe.es/gazeta/dias/1819/01/02/pdfs/GMD-1819-1.pdf#page=6","Abrir facsímil")</f>
        <v>Abrir facsímil</v>
      </c>
      <c r="K400" s="3" t="s">
        <v>67</v>
      </c>
    </row>
    <row r="401" spans="1:11" ht="42" customHeight="1">
      <c r="A401" s="2" t="s">
        <v>1191</v>
      </c>
      <c r="B401" s="2" t="s">
        <v>1192</v>
      </c>
      <c r="C401" s="2" t="s">
        <v>80</v>
      </c>
      <c r="D401" s="2" t="s">
        <v>81</v>
      </c>
      <c r="E401" s="5">
        <v>-29575</v>
      </c>
      <c r="F401" s="3" t="s">
        <v>77</v>
      </c>
      <c r="G401" s="3" t="s">
        <v>296</v>
      </c>
      <c r="H401" s="2" t="s">
        <v>65</v>
      </c>
      <c r="I401" s="2" t="s">
        <v>1194</v>
      </c>
      <c r="J401" s="3" t="str">
        <f>HYPERLINK("https://www.boe.es/gazeta/dias/1819/01/09/pdfs/GMD-1819-4.pdf#page=4","Abrir facsímil")</f>
        <v>Abrir facsímil</v>
      </c>
      <c r="K401" s="3" t="s">
        <v>67</v>
      </c>
    </row>
    <row r="402" spans="1:11" ht="42" customHeight="1">
      <c r="A402" s="2" t="s">
        <v>1191</v>
      </c>
      <c r="B402" s="2" t="s">
        <v>1192</v>
      </c>
      <c r="C402" s="2" t="s">
        <v>80</v>
      </c>
      <c r="D402" s="2" t="s">
        <v>81</v>
      </c>
      <c r="E402" s="5">
        <v>-29530</v>
      </c>
      <c r="F402" s="3" t="s">
        <v>202</v>
      </c>
      <c r="G402" s="3" t="s">
        <v>33</v>
      </c>
      <c r="H402" s="2" t="s">
        <v>65</v>
      </c>
      <c r="I402" s="2" t="s">
        <v>1195</v>
      </c>
      <c r="J402" s="3" t="str">
        <f>HYPERLINK("https://www.boe.es/gazeta/dias/1819/02/23/pdfs/GMD-1819-23.pdf#page=6","Abrir facsímil")</f>
        <v>Abrir facsímil</v>
      </c>
      <c r="K402" s="3" t="s">
        <v>67</v>
      </c>
    </row>
    <row r="403" spans="1:11" ht="42" customHeight="1">
      <c r="A403" s="2" t="s">
        <v>1191</v>
      </c>
      <c r="B403" s="2" t="s">
        <v>1192</v>
      </c>
      <c r="C403" s="2" t="s">
        <v>80</v>
      </c>
      <c r="D403" s="2" t="s">
        <v>81</v>
      </c>
      <c r="E403" s="5">
        <v>-29444</v>
      </c>
      <c r="F403" s="3" t="s">
        <v>258</v>
      </c>
      <c r="G403" s="3" t="s">
        <v>33</v>
      </c>
      <c r="H403" s="2" t="s">
        <v>65</v>
      </c>
      <c r="I403" s="2" t="s">
        <v>1196</v>
      </c>
      <c r="J403" s="3" t="str">
        <f>HYPERLINK("https://www.boe.es/gazeta/dias/1819/05/20/pdfs/GMD-1819-60.pdf#page=6","Abrir facsímil")</f>
        <v>Abrir facsímil</v>
      </c>
      <c r="K403" s="3" t="s">
        <v>67</v>
      </c>
    </row>
    <row r="404" spans="1:11" ht="42" customHeight="1">
      <c r="A404" s="2" t="s">
        <v>1197</v>
      </c>
      <c r="B404" s="2" t="s">
        <v>1198</v>
      </c>
      <c r="C404" s="2" t="s">
        <v>80</v>
      </c>
      <c r="D404" s="2" t="s">
        <v>81</v>
      </c>
      <c r="E404" s="5">
        <v>-29470</v>
      </c>
      <c r="F404" s="3" t="s">
        <v>1188</v>
      </c>
      <c r="G404" s="3" t="s">
        <v>296</v>
      </c>
      <c r="H404" s="2" t="s">
        <v>65</v>
      </c>
      <c r="I404" s="2" t="s">
        <v>1199</v>
      </c>
      <c r="J404" s="3" t="str">
        <f>HYPERLINK("https://www.boe.es/gazeta/dias/1819/04/24/pdfs/GMD-1819-49.pdf#page=4","Abrir facsímil")</f>
        <v>Abrir facsímil</v>
      </c>
      <c r="K404" s="3" t="s">
        <v>67</v>
      </c>
    </row>
    <row r="405" spans="1:11" ht="42" customHeight="1">
      <c r="A405" s="2" t="s">
        <v>1200</v>
      </c>
      <c r="B405" s="2" t="s">
        <v>1201</v>
      </c>
      <c r="C405" s="2" t="s">
        <v>63</v>
      </c>
      <c r="D405" s="2" t="s">
        <v>43</v>
      </c>
      <c r="E405" s="5">
        <v>-29463</v>
      </c>
      <c r="F405" s="3" t="s">
        <v>114</v>
      </c>
      <c r="G405" s="3" t="s">
        <v>28</v>
      </c>
      <c r="H405" s="2" t="s">
        <v>65</v>
      </c>
      <c r="I405" s="2" t="s">
        <v>1202</v>
      </c>
      <c r="J405" s="3" t="str">
        <f>HYPERLINK("https://www.boe.es/gazeta/dias/1819/05/01/pdfs/GMD-1819-52.pdf#page=8","Abrir facsímil")</f>
        <v>Abrir facsímil</v>
      </c>
      <c r="K405" s="3" t="s">
        <v>67</v>
      </c>
    </row>
    <row r="406" spans="1:11" ht="42" customHeight="1">
      <c r="A406" s="2" t="s">
        <v>1203</v>
      </c>
      <c r="B406" s="2" t="s">
        <v>1204</v>
      </c>
      <c r="C406" s="2" t="s">
        <v>63</v>
      </c>
      <c r="D406" s="2" t="s">
        <v>43</v>
      </c>
      <c r="E406" s="5">
        <v>-29423</v>
      </c>
      <c r="F406" s="3" t="s">
        <v>1205</v>
      </c>
      <c r="G406" s="3" t="s">
        <v>55</v>
      </c>
      <c r="H406" s="2" t="s">
        <v>65</v>
      </c>
      <c r="I406" s="2" t="s">
        <v>1206</v>
      </c>
      <c r="J406" s="3" t="str">
        <f>HYPERLINK("https://www.boe.es/gazeta/dias/1819/06/10/pdfs/GMD-1819-69.pdf#page=7","Abrir facsímil")</f>
        <v>Abrir facsímil</v>
      </c>
      <c r="K406" s="3" t="s">
        <v>67</v>
      </c>
    </row>
    <row r="407" spans="1:11" ht="42" customHeight="1">
      <c r="A407" s="2" t="s">
        <v>1207</v>
      </c>
      <c r="B407" s="2" t="s">
        <v>1208</v>
      </c>
      <c r="C407" s="2" t="s">
        <v>59</v>
      </c>
      <c r="D407" s="2" t="s">
        <v>18</v>
      </c>
      <c r="E407" s="5">
        <v>-29537</v>
      </c>
      <c r="F407" s="3" t="s">
        <v>593</v>
      </c>
      <c r="G407" s="3" t="s">
        <v>456</v>
      </c>
      <c r="H407" s="2" t="s">
        <v>21</v>
      </c>
      <c r="I407" s="2" t="s">
        <v>1209</v>
      </c>
      <c r="J407" s="3" t="str">
        <f>HYPERLINK("https://www.boe.es/gazeta/dias/1819/02/16/pdfs/GMD-1819-20.pdf#page=9","Abrir facsímil")</f>
        <v>Abrir facsímil</v>
      </c>
      <c r="K407" s="3" t="s">
        <v>23</v>
      </c>
    </row>
    <row r="408" spans="1:11" ht="42" customHeight="1">
      <c r="A408" s="2" t="s">
        <v>1210</v>
      </c>
      <c r="B408" s="2" t="s">
        <v>1211</v>
      </c>
      <c r="C408" s="2" t="s">
        <v>59</v>
      </c>
      <c r="D408" s="2" t="s">
        <v>18</v>
      </c>
      <c r="E408" s="5">
        <v>-29537</v>
      </c>
      <c r="F408" s="3" t="s">
        <v>593</v>
      </c>
      <c r="G408" s="3" t="s">
        <v>456</v>
      </c>
      <c r="H408" s="2" t="s">
        <v>21</v>
      </c>
      <c r="I408" s="2" t="s">
        <v>1212</v>
      </c>
      <c r="J408" s="3" t="str">
        <f>HYPERLINK("https://www.boe.es/gazeta/dias/1819/02/16/pdfs/GMD-1819-20.pdf#page=9","Abrir facsímil")</f>
        <v>Abrir facsímil</v>
      </c>
      <c r="K408" s="3" t="s">
        <v>23</v>
      </c>
    </row>
    <row r="409" spans="1:11" ht="42" customHeight="1">
      <c r="A409" s="2" t="s">
        <v>1213</v>
      </c>
      <c r="B409" s="2" t="s">
        <v>1214</v>
      </c>
      <c r="C409" s="2" t="s">
        <v>59</v>
      </c>
      <c r="D409" s="2" t="s">
        <v>18</v>
      </c>
      <c r="E409" s="5">
        <v>-29537</v>
      </c>
      <c r="F409" s="3" t="s">
        <v>593</v>
      </c>
      <c r="G409" s="3" t="s">
        <v>456</v>
      </c>
      <c r="H409" s="2" t="s">
        <v>21</v>
      </c>
      <c r="I409" s="2" t="s">
        <v>1215</v>
      </c>
      <c r="J409" s="3" t="str">
        <f>HYPERLINK("https://www.boe.es/gazeta/dias/1819/02/16/pdfs/GMD-1819-20.pdf#page=9","Abrir facsímil")</f>
        <v>Abrir facsímil</v>
      </c>
      <c r="K409" s="3" t="s">
        <v>23</v>
      </c>
    </row>
    <row r="410" spans="1:11" ht="42" customHeight="1">
      <c r="A410" s="2" t="s">
        <v>1216</v>
      </c>
      <c r="B410" s="2" t="s">
        <v>1217</v>
      </c>
      <c r="C410" s="2" t="s">
        <v>63</v>
      </c>
      <c r="D410" s="2" t="s">
        <v>43</v>
      </c>
      <c r="E410" s="5">
        <v>-29288</v>
      </c>
      <c r="F410" s="3" t="s">
        <v>334</v>
      </c>
      <c r="G410" s="3" t="s">
        <v>28</v>
      </c>
      <c r="H410" s="2" t="s">
        <v>65</v>
      </c>
      <c r="I410" s="2" t="s">
        <v>1218</v>
      </c>
      <c r="J410" s="3" t="str">
        <f>HYPERLINK("https://www.boe.es/gazeta/dias/1819/10/23/pdfs/GMD-1819-130.pdf#page=8","Abrir facsímil")</f>
        <v>Abrir facsímil</v>
      </c>
      <c r="K410" s="3" t="s">
        <v>67</v>
      </c>
    </row>
    <row r="411" spans="1:11" ht="42" customHeight="1">
      <c r="A411" s="2" t="s">
        <v>1219</v>
      </c>
      <c r="B411" s="2" t="s">
        <v>1220</v>
      </c>
      <c r="C411" s="2" t="s">
        <v>63</v>
      </c>
      <c r="D411" s="2" t="s">
        <v>43</v>
      </c>
      <c r="E411" s="5">
        <v>-29348</v>
      </c>
      <c r="F411" s="3" t="s">
        <v>227</v>
      </c>
      <c r="G411" s="3" t="s">
        <v>28</v>
      </c>
      <c r="H411" s="2" t="s">
        <v>65</v>
      </c>
      <c r="I411" s="2" t="s">
        <v>1221</v>
      </c>
      <c r="J411" s="3" t="str">
        <f>HYPERLINK("https://www.boe.es/gazeta/dias/1819/08/24/pdfs/GMD-1819-102.pdf#page=8","Abrir facsímil")</f>
        <v>Abrir facsímil</v>
      </c>
      <c r="K411" s="3" t="s">
        <v>67</v>
      </c>
    </row>
    <row r="412" spans="1:11" ht="42" customHeight="1">
      <c r="A412" s="2" t="s">
        <v>1222</v>
      </c>
      <c r="B412" s="2" t="s">
        <v>1223</v>
      </c>
      <c r="C412" s="2" t="s">
        <v>59</v>
      </c>
      <c r="D412" s="2" t="s">
        <v>18</v>
      </c>
      <c r="E412" s="5">
        <v>-29575</v>
      </c>
      <c r="F412" s="3" t="s">
        <v>77</v>
      </c>
      <c r="G412" s="3" t="s">
        <v>28</v>
      </c>
      <c r="H412" s="2" t="s">
        <v>21</v>
      </c>
      <c r="I412" s="2" t="s">
        <v>1224</v>
      </c>
      <c r="J412" s="3" t="str">
        <f>HYPERLINK("https://www.boe.es/gazeta/dias/1819/01/09/pdfs/GMD-1819-4.pdf#page=8","Abrir facsímil")</f>
        <v>Abrir facsímil</v>
      </c>
      <c r="K412" s="3" t="s">
        <v>23</v>
      </c>
    </row>
    <row r="413" spans="1:11" ht="42" customHeight="1">
      <c r="A413" s="2" t="s">
        <v>1225</v>
      </c>
      <c r="B413" s="2" t="s">
        <v>1226</v>
      </c>
      <c r="C413" s="2" t="s">
        <v>63</v>
      </c>
      <c r="D413" s="2" t="s">
        <v>43</v>
      </c>
      <c r="E413" s="5">
        <v>-29416</v>
      </c>
      <c r="F413" s="3" t="s">
        <v>251</v>
      </c>
      <c r="G413" s="3" t="s">
        <v>55</v>
      </c>
      <c r="H413" s="2" t="s">
        <v>65</v>
      </c>
      <c r="I413" s="2" t="s">
        <v>1227</v>
      </c>
      <c r="J413" s="3" t="str">
        <f>HYPERLINK("https://www.boe.es/gazeta/dias/1819/06/17/pdfs/GMD-1819-73.pdf#page=7","Abrir facsímil")</f>
        <v>Abrir facsímil</v>
      </c>
      <c r="K413" s="3" t="s">
        <v>67</v>
      </c>
    </row>
    <row r="414" spans="1:11" ht="42" customHeight="1">
      <c r="A414" s="2" t="s">
        <v>1228</v>
      </c>
      <c r="B414" s="2" t="s">
        <v>1229</v>
      </c>
      <c r="C414" s="2" t="s">
        <v>80</v>
      </c>
      <c r="D414" s="2" t="s">
        <v>81</v>
      </c>
      <c r="E414" s="5">
        <v>-29248</v>
      </c>
      <c r="F414" s="3" t="s">
        <v>395</v>
      </c>
      <c r="G414" s="3" t="s">
        <v>456</v>
      </c>
      <c r="H414" s="2" t="s">
        <v>65</v>
      </c>
      <c r="I414" s="2" t="s">
        <v>1230</v>
      </c>
      <c r="J414" s="3" t="str">
        <f>HYPERLINK("https://www.boe.es/gazeta/dias/1819/12/02/pdfs/GMD-1819-148.pdf#page=9","Abrir facsímil")</f>
        <v>Abrir facsímil</v>
      </c>
      <c r="K414" s="3" t="s">
        <v>67</v>
      </c>
    </row>
    <row r="415" spans="1:11" ht="42" customHeight="1">
      <c r="A415" s="2" t="s">
        <v>1231</v>
      </c>
      <c r="B415" s="2" t="s">
        <v>1231</v>
      </c>
      <c r="C415" s="2" t="s">
        <v>80</v>
      </c>
      <c r="D415" s="2" t="s">
        <v>81</v>
      </c>
      <c r="E415" s="5">
        <v>-29267</v>
      </c>
      <c r="F415" s="3" t="s">
        <v>370</v>
      </c>
      <c r="G415" s="3" t="s">
        <v>55</v>
      </c>
      <c r="H415" s="2" t="s">
        <v>65</v>
      </c>
      <c r="I415" s="2" t="s">
        <v>1232</v>
      </c>
      <c r="J415" s="3" t="str">
        <f>HYPERLINK("https://www.boe.es/gazeta/dias/1819/11/13/pdfs/GMD-1819-140.pdf#page=7","Abrir facsímil")</f>
        <v>Abrir facsímil</v>
      </c>
      <c r="K415" s="3" t="s">
        <v>67</v>
      </c>
    </row>
    <row r="416" spans="1:11" ht="42" customHeight="1">
      <c r="A416" s="2" t="s">
        <v>1233</v>
      </c>
      <c r="B416" s="2" t="s">
        <v>1234</v>
      </c>
      <c r="C416" s="2" t="s">
        <v>136</v>
      </c>
      <c r="D416" s="2" t="s">
        <v>18</v>
      </c>
      <c r="E416" s="5">
        <v>-29232</v>
      </c>
      <c r="F416" s="3" t="s">
        <v>752</v>
      </c>
      <c r="G416" s="3" t="s">
        <v>839</v>
      </c>
      <c r="H416" s="2" t="s">
        <v>65</v>
      </c>
      <c r="I416" s="2" t="s">
        <v>1235</v>
      </c>
      <c r="J416" s="3" t="str">
        <f>HYPERLINK("https://www.boe.es/gazeta/dias/1819/12/18/pdfs/GMD-1819-155.pdf#page=8","Abrir facsímil")</f>
        <v>Abrir facsímil</v>
      </c>
      <c r="K416" s="3" t="s">
        <v>67</v>
      </c>
    </row>
    <row r="417" spans="1:11" ht="42" customHeight="1">
      <c r="A417" s="2" t="s">
        <v>1236</v>
      </c>
      <c r="B417" s="2" t="s">
        <v>1237</v>
      </c>
      <c r="C417" s="2" t="s">
        <v>80</v>
      </c>
      <c r="D417" s="2" t="s">
        <v>81</v>
      </c>
      <c r="E417" s="5">
        <v>-29439</v>
      </c>
      <c r="F417" s="3" t="s">
        <v>1101</v>
      </c>
      <c r="G417" s="3" t="s">
        <v>55</v>
      </c>
      <c r="H417" s="2" t="s">
        <v>65</v>
      </c>
      <c r="I417" s="2" t="s">
        <v>1238</v>
      </c>
      <c r="J417" s="3" t="str">
        <f>HYPERLINK("https://www.boe.es/gazeta/dias/1819/05/25/pdfs/GMD-1819-62.pdf#page=7","Abrir facsímil")</f>
        <v>Abrir facsímil</v>
      </c>
      <c r="K417" s="3" t="s">
        <v>67</v>
      </c>
    </row>
    <row r="418" spans="1:11" ht="42" customHeight="1">
      <c r="A418" s="2" t="s">
        <v>1239</v>
      </c>
      <c r="B418" s="2" t="s">
        <v>1239</v>
      </c>
      <c r="C418" s="2" t="s">
        <v>80</v>
      </c>
      <c r="D418" s="2" t="s">
        <v>81</v>
      </c>
      <c r="E418" s="5">
        <v>-29502</v>
      </c>
      <c r="F418" s="3" t="s">
        <v>86</v>
      </c>
      <c r="G418" s="3" t="s">
        <v>102</v>
      </c>
      <c r="H418" s="2" t="s">
        <v>65</v>
      </c>
      <c r="I418" s="2" t="s">
        <v>1240</v>
      </c>
      <c r="J418" s="3" t="str">
        <f>HYPERLINK("https://www.boe.es/gazeta/dias/1819/03/23/pdfs/GMD-1819-35.pdf#page=3","Abrir facsímil")</f>
        <v>Abrir facsímil</v>
      </c>
      <c r="K418" s="3" t="s">
        <v>67</v>
      </c>
    </row>
    <row r="419" spans="1:11" ht="42" customHeight="1">
      <c r="A419" s="2" t="s">
        <v>1241</v>
      </c>
      <c r="B419" s="2" t="s">
        <v>1242</v>
      </c>
      <c r="C419" s="2" t="s">
        <v>80</v>
      </c>
      <c r="D419" s="2" t="s">
        <v>81</v>
      </c>
      <c r="E419" s="5">
        <v>-29577</v>
      </c>
      <c r="F419" s="3" t="s">
        <v>1008</v>
      </c>
      <c r="G419" s="3" t="s">
        <v>28</v>
      </c>
      <c r="H419" s="2" t="s">
        <v>65</v>
      </c>
      <c r="I419" s="2" t="s">
        <v>1243</v>
      </c>
      <c r="J419" s="3" t="str">
        <f>HYPERLINK("https://www.boe.es/gazeta/dias/1819/01/07/pdfs/GMD-1819-3.pdf#page=8","Abrir facsímil")</f>
        <v>Abrir facsímil</v>
      </c>
      <c r="K419" s="3" t="s">
        <v>67</v>
      </c>
    </row>
    <row r="420" spans="1:11" ht="42" customHeight="1">
      <c r="A420" s="2" t="s">
        <v>1241</v>
      </c>
      <c r="B420" s="2" t="s">
        <v>1242</v>
      </c>
      <c r="C420" s="2" t="s">
        <v>80</v>
      </c>
      <c r="D420" s="2" t="s">
        <v>81</v>
      </c>
      <c r="E420" s="5">
        <v>-29547</v>
      </c>
      <c r="F420" s="3" t="s">
        <v>238</v>
      </c>
      <c r="G420" s="3" t="s">
        <v>55</v>
      </c>
      <c r="H420" s="2" t="s">
        <v>65</v>
      </c>
      <c r="I420" s="2" t="s">
        <v>1244</v>
      </c>
      <c r="J420" s="3" t="str">
        <f>HYPERLINK("https://www.boe.es/gazeta/dias/1819/02/06/pdfs/GMD-1819-16.pdf#page=7","Abrir facsímil")</f>
        <v>Abrir facsímil</v>
      </c>
      <c r="K420" s="3" t="s">
        <v>67</v>
      </c>
    </row>
    <row r="421" spans="1:11" ht="42" customHeight="1">
      <c r="A421" s="2" t="s">
        <v>1245</v>
      </c>
      <c r="B421" s="2" t="s">
        <v>1246</v>
      </c>
      <c r="C421" s="2" t="s">
        <v>136</v>
      </c>
      <c r="D421" s="2" t="s">
        <v>18</v>
      </c>
      <c r="E421" s="5">
        <v>-29547</v>
      </c>
      <c r="F421" s="3" t="s">
        <v>238</v>
      </c>
      <c r="G421" s="3" t="s">
        <v>55</v>
      </c>
      <c r="H421" s="2" t="s">
        <v>65</v>
      </c>
      <c r="I421" s="2" t="s">
        <v>1247</v>
      </c>
      <c r="J421" s="3" t="str">
        <f>HYPERLINK("https://www.boe.es/gazeta/dias/1819/02/06/pdfs/GMD-1819-16.pdf#page=7","Abrir facsímil")</f>
        <v>Abrir facsímil</v>
      </c>
      <c r="K421" s="3" t="s">
        <v>67</v>
      </c>
    </row>
    <row r="422" spans="1:11" ht="42" customHeight="1">
      <c r="A422" s="2" t="s">
        <v>1248</v>
      </c>
      <c r="B422" s="2" t="s">
        <v>1249</v>
      </c>
      <c r="C422" s="2" t="s">
        <v>17</v>
      </c>
      <c r="D422" s="2" t="s">
        <v>18</v>
      </c>
      <c r="E422" s="5">
        <v>-29313</v>
      </c>
      <c r="F422" s="3" t="s">
        <v>129</v>
      </c>
      <c r="G422" s="3" t="s">
        <v>38</v>
      </c>
      <c r="H422" s="2" t="s">
        <v>65</v>
      </c>
      <c r="I422" s="2" t="s">
        <v>1250</v>
      </c>
      <c r="J422" s="3" t="str">
        <f>HYPERLINK("https://www.boe.es/gazeta/dias/1819/09/28/pdfs/GMD-1819-119.pdf#page=5","Abrir facsímil")</f>
        <v>Abrir facsímil</v>
      </c>
      <c r="K422" s="3" t="s">
        <v>67</v>
      </c>
    </row>
    <row r="423" spans="1:11" ht="42" customHeight="1">
      <c r="A423" s="2" t="s">
        <v>1251</v>
      </c>
      <c r="B423" s="2" t="s">
        <v>1251</v>
      </c>
      <c r="C423" s="2" t="s">
        <v>17</v>
      </c>
      <c r="D423" s="2" t="s">
        <v>18</v>
      </c>
      <c r="E423" s="5">
        <v>-29572</v>
      </c>
      <c r="F423" s="3" t="s">
        <v>589</v>
      </c>
      <c r="G423" s="3" t="s">
        <v>1252</v>
      </c>
      <c r="H423" s="2" t="s">
        <v>65</v>
      </c>
      <c r="I423" s="2" t="s">
        <v>1253</v>
      </c>
      <c r="J423" s="3" t="str">
        <f>HYPERLINK("https://www.boe.es/gazeta/dias/1819/01/12/pdfs/GMD-1819-5.pdf#page=2","Abrir facsímil")</f>
        <v>Abrir facsímil</v>
      </c>
      <c r="K423" s="3" t="s">
        <v>67</v>
      </c>
    </row>
    <row r="424" spans="1:11" ht="42" customHeight="1">
      <c r="A424" s="2" t="s">
        <v>1251</v>
      </c>
      <c r="B424" s="2" t="s">
        <v>1251</v>
      </c>
      <c r="C424" s="2" t="s">
        <v>59</v>
      </c>
      <c r="D424" s="2" t="s">
        <v>18</v>
      </c>
      <c r="E424" s="5">
        <v>-29470</v>
      </c>
      <c r="F424" s="3" t="s">
        <v>1188</v>
      </c>
      <c r="G424" s="3" t="s">
        <v>259</v>
      </c>
      <c r="H424" s="2" t="s">
        <v>65</v>
      </c>
      <c r="I424" s="2" t="s">
        <v>1254</v>
      </c>
      <c r="J424" s="3" t="str">
        <f>HYPERLINK("https://www.boe.es/gazeta/dias/1819/04/24/pdfs/GMD-1819-49.pdf#page=2","Abrir facsímil")</f>
        <v>Abrir facsímil</v>
      </c>
      <c r="K424" s="3" t="s">
        <v>67</v>
      </c>
    </row>
    <row r="425" spans="1:11" ht="42" customHeight="1">
      <c r="A425" s="2" t="s">
        <v>1255</v>
      </c>
      <c r="B425" s="2" t="s">
        <v>1255</v>
      </c>
      <c r="C425" s="2" t="s">
        <v>80</v>
      </c>
      <c r="D425" s="2" t="s">
        <v>81</v>
      </c>
      <c r="E425" s="5">
        <v>-29554</v>
      </c>
      <c r="F425" s="3" t="s">
        <v>150</v>
      </c>
      <c r="G425" s="3" t="s">
        <v>33</v>
      </c>
      <c r="H425" s="2" t="s">
        <v>65</v>
      </c>
      <c r="I425" s="2" t="s">
        <v>1256</v>
      </c>
      <c r="J425" s="3" t="str">
        <f>HYPERLINK("https://www.boe.es/gazeta/dias/1819/01/30/pdfs/GMD-1819-13.pdf#page=6","Abrir facsímil")</f>
        <v>Abrir facsímil</v>
      </c>
      <c r="K425" s="3" t="s">
        <v>67</v>
      </c>
    </row>
    <row r="426" spans="1:11" ht="42" customHeight="1">
      <c r="A426" s="2" t="s">
        <v>1257</v>
      </c>
      <c r="B426" s="2" t="s">
        <v>1258</v>
      </c>
      <c r="C426" s="2" t="s">
        <v>80</v>
      </c>
      <c r="D426" s="2" t="s">
        <v>81</v>
      </c>
      <c r="E426" s="5">
        <v>-29411</v>
      </c>
      <c r="F426" s="3" t="s">
        <v>317</v>
      </c>
      <c r="G426" s="3" t="s">
        <v>55</v>
      </c>
      <c r="H426" s="2" t="s">
        <v>65</v>
      </c>
      <c r="I426" s="2" t="s">
        <v>1259</v>
      </c>
      <c r="J426" s="3" t="str">
        <f>HYPERLINK("https://www.boe.es/gazeta/dias/1819/06/22/pdfs/GMD-1819-75.pdf#page=7","Abrir facsímil")</f>
        <v>Abrir facsímil</v>
      </c>
      <c r="K426" s="3" t="s">
        <v>67</v>
      </c>
    </row>
    <row r="427" spans="1:11" ht="42" customHeight="1">
      <c r="A427" s="2" t="s">
        <v>1260</v>
      </c>
      <c r="B427" s="2" t="s">
        <v>1261</v>
      </c>
      <c r="C427" s="2" t="s">
        <v>80</v>
      </c>
      <c r="D427" s="2" t="s">
        <v>81</v>
      </c>
      <c r="E427" s="5">
        <v>-29274</v>
      </c>
      <c r="F427" s="3" t="s">
        <v>247</v>
      </c>
      <c r="G427" s="3" t="s">
        <v>33</v>
      </c>
      <c r="H427" s="2" t="s">
        <v>65</v>
      </c>
      <c r="I427" s="2" t="s">
        <v>1262</v>
      </c>
      <c r="J427" s="3" t="str">
        <f>HYPERLINK("https://www.boe.es/gazeta/dias/1819/11/06/pdfs/GMD-1819-137.pdf#page=6","Abrir facsímil")</f>
        <v>Abrir facsímil</v>
      </c>
      <c r="K427" s="3" t="s">
        <v>67</v>
      </c>
    </row>
    <row r="428" spans="1:11" ht="42" customHeight="1">
      <c r="A428" s="2" t="s">
        <v>1263</v>
      </c>
      <c r="B428" s="2" t="s">
        <v>1264</v>
      </c>
      <c r="C428" s="2" t="s">
        <v>59</v>
      </c>
      <c r="D428" s="2" t="s">
        <v>18</v>
      </c>
      <c r="E428" s="5">
        <v>-29276</v>
      </c>
      <c r="F428" s="3" t="s">
        <v>54</v>
      </c>
      <c r="G428" s="3" t="s">
        <v>55</v>
      </c>
      <c r="H428" s="2" t="s">
        <v>65</v>
      </c>
      <c r="I428" s="2" t="s">
        <v>1265</v>
      </c>
      <c r="J428" s="3" t="str">
        <f>HYPERLINK("https://www.boe.es/gazeta/dias/1819/11/04/pdfs/GMD-1819-136.pdf#page=7","Abrir facsímil")</f>
        <v>Abrir facsímil</v>
      </c>
      <c r="K428" s="3" t="s">
        <v>67</v>
      </c>
    </row>
    <row r="429" spans="1:11" ht="42" customHeight="1">
      <c r="A429" s="2" t="s">
        <v>1266</v>
      </c>
      <c r="B429" s="2" t="s">
        <v>1267</v>
      </c>
      <c r="C429" s="2" t="s">
        <v>80</v>
      </c>
      <c r="D429" s="2" t="s">
        <v>81</v>
      </c>
      <c r="E429" s="5">
        <v>-29442</v>
      </c>
      <c r="F429" s="3" t="s">
        <v>427</v>
      </c>
      <c r="G429" s="3" t="s">
        <v>296</v>
      </c>
      <c r="H429" s="2" t="s">
        <v>65</v>
      </c>
      <c r="I429" s="2" t="s">
        <v>1268</v>
      </c>
      <c r="J429" s="3" t="str">
        <f>HYPERLINK("https://www.boe.es/gazeta/dias/1819/05/22/pdfs/GMD-1819-61.pdf#page=4","Abrir facsímil")</f>
        <v>Abrir facsímil</v>
      </c>
      <c r="K429" s="3" t="s">
        <v>67</v>
      </c>
    </row>
    <row r="430" spans="1:11" ht="42" customHeight="1">
      <c r="A430" s="2" t="s">
        <v>1269</v>
      </c>
      <c r="B430" s="2" t="s">
        <v>1270</v>
      </c>
      <c r="C430" s="2" t="s">
        <v>59</v>
      </c>
      <c r="D430" s="2" t="s">
        <v>18</v>
      </c>
      <c r="E430" s="5">
        <v>-29292</v>
      </c>
      <c r="F430" s="3" t="s">
        <v>875</v>
      </c>
      <c r="G430" s="3" t="s">
        <v>28</v>
      </c>
      <c r="H430" s="2" t="s">
        <v>65</v>
      </c>
      <c r="I430" s="2" t="s">
        <v>1271</v>
      </c>
      <c r="J430" s="3" t="str">
        <f>HYPERLINK("https://www.boe.es/gazeta/dias/1819/10/19/pdfs/GMD-1819-128.pdf#page=8","Abrir facsímil")</f>
        <v>Abrir facsímil</v>
      </c>
      <c r="K430" s="3" t="s">
        <v>67</v>
      </c>
    </row>
    <row r="431" spans="1:11" ht="42" customHeight="1">
      <c r="A431" s="2" t="s">
        <v>1272</v>
      </c>
      <c r="B431" s="2" t="s">
        <v>1272</v>
      </c>
      <c r="C431" s="2" t="s">
        <v>80</v>
      </c>
      <c r="D431" s="2" t="s">
        <v>81</v>
      </c>
      <c r="E431" s="5">
        <v>-29470</v>
      </c>
      <c r="F431" s="3" t="s">
        <v>1188</v>
      </c>
      <c r="G431" s="3" t="s">
        <v>259</v>
      </c>
      <c r="H431" s="2" t="s">
        <v>65</v>
      </c>
      <c r="I431" s="2" t="s">
        <v>1273</v>
      </c>
      <c r="J431" s="3" t="str">
        <f>HYPERLINK("https://www.boe.es/gazeta/dias/1819/04/24/pdfs/GMD-1819-49.pdf#page=2","Abrir facsímil")</f>
        <v>Abrir facsímil</v>
      </c>
      <c r="K431" s="3" t="s">
        <v>67</v>
      </c>
    </row>
    <row r="432" spans="1:11" ht="42" customHeight="1">
      <c r="A432" s="2" t="s">
        <v>1274</v>
      </c>
      <c r="B432" s="2" t="s">
        <v>1274</v>
      </c>
      <c r="C432" s="2" t="s">
        <v>80</v>
      </c>
      <c r="D432" s="2" t="s">
        <v>81</v>
      </c>
      <c r="E432" s="5">
        <v>-29260</v>
      </c>
      <c r="F432" s="3" t="s">
        <v>93</v>
      </c>
      <c r="G432" s="3" t="s">
        <v>1275</v>
      </c>
      <c r="H432" s="2" t="s">
        <v>65</v>
      </c>
      <c r="I432" s="2" t="s">
        <v>1276</v>
      </c>
      <c r="J432" s="3" t="str">
        <f>HYPERLINK("https://www.boe.es/gazeta/dias/1819/11/20/pdfs/GMD-1819-143.pdf#page=10","Abrir facsímil")</f>
        <v>Abrir facsímil</v>
      </c>
      <c r="K432" s="3" t="s">
        <v>67</v>
      </c>
    </row>
    <row r="433" spans="1:11" ht="42" customHeight="1">
      <c r="A433" s="2" t="s">
        <v>1277</v>
      </c>
      <c r="B433" s="2" t="s">
        <v>1277</v>
      </c>
      <c r="C433" s="2" t="s">
        <v>17</v>
      </c>
      <c r="D433" s="2" t="s">
        <v>18</v>
      </c>
      <c r="E433" s="5">
        <v>-29575</v>
      </c>
      <c r="F433" s="3" t="s">
        <v>77</v>
      </c>
      <c r="G433" s="3" t="s">
        <v>55</v>
      </c>
      <c r="H433" s="2" t="s">
        <v>65</v>
      </c>
      <c r="I433" s="2" t="s">
        <v>1278</v>
      </c>
      <c r="J433" s="3" t="str">
        <f>HYPERLINK("https://www.boe.es/gazeta/dias/1819/01/09/pdfs/GMD-1819-4.pdf#page=7","Abrir facsímil")</f>
        <v>Abrir facsímil</v>
      </c>
      <c r="K433" s="3" t="s">
        <v>67</v>
      </c>
    </row>
    <row r="434" spans="1:11" ht="42" customHeight="1">
      <c r="A434" s="2" t="s">
        <v>1279</v>
      </c>
      <c r="B434" s="2" t="s">
        <v>1280</v>
      </c>
      <c r="C434" s="2" t="s">
        <v>63</v>
      </c>
      <c r="D434" s="2" t="s">
        <v>43</v>
      </c>
      <c r="E434" s="5">
        <v>-29271</v>
      </c>
      <c r="F434" s="3" t="s">
        <v>32</v>
      </c>
      <c r="G434" s="3" t="s">
        <v>1281</v>
      </c>
      <c r="H434" s="2" t="s">
        <v>65</v>
      </c>
      <c r="I434" s="2" t="s">
        <v>1282</v>
      </c>
      <c r="J434" s="3" t="str">
        <f>HYPERLINK("https://www.boe.es/gazeta/dias/1819/11/09/pdfs/GMD-1819-138.pdf#page=4","Abrir facsímil")</f>
        <v>Abrir facsímil</v>
      </c>
      <c r="K434" s="3" t="s">
        <v>67</v>
      </c>
    </row>
    <row r="435" spans="1:11" ht="42" customHeight="1">
      <c r="A435" s="2" t="s">
        <v>1283</v>
      </c>
      <c r="B435" s="2" t="s">
        <v>1284</v>
      </c>
      <c r="C435" s="2" t="s">
        <v>215</v>
      </c>
      <c r="D435" s="2" t="s">
        <v>18</v>
      </c>
      <c r="E435" s="5">
        <v>-29374</v>
      </c>
      <c r="F435" s="3" t="s">
        <v>204</v>
      </c>
      <c r="G435" s="3" t="s">
        <v>28</v>
      </c>
      <c r="H435" s="2" t="s">
        <v>65</v>
      </c>
      <c r="I435" s="2" t="s">
        <v>1285</v>
      </c>
      <c r="J435" s="3" t="str">
        <f>HYPERLINK("https://www.boe.es/gazeta/dias/1819/07/29/pdfs/GMD-1819-91.pdf#page=8","Abrir facsímil")</f>
        <v>Abrir facsímil</v>
      </c>
      <c r="K435" s="3" t="s">
        <v>67</v>
      </c>
    </row>
    <row r="436" spans="1:11" ht="42" customHeight="1">
      <c r="A436" s="2" t="s">
        <v>1286</v>
      </c>
      <c r="B436" s="2" t="s">
        <v>1287</v>
      </c>
      <c r="C436" s="2" t="s">
        <v>215</v>
      </c>
      <c r="D436" s="2" t="s">
        <v>18</v>
      </c>
      <c r="E436" s="5">
        <v>-29376</v>
      </c>
      <c r="F436" s="3" t="s">
        <v>332</v>
      </c>
      <c r="G436" s="3" t="s">
        <v>28</v>
      </c>
      <c r="H436" s="2" t="s">
        <v>65</v>
      </c>
      <c r="I436" s="2" t="s">
        <v>1288</v>
      </c>
      <c r="J436" s="3" t="str">
        <f>HYPERLINK("https://www.boe.es/gazeta/dias/1819/07/27/pdfs/GMD-1819-90.pdf#page=8","Abrir facsímil")</f>
        <v>Abrir facsímil</v>
      </c>
      <c r="K436" s="3" t="s">
        <v>67</v>
      </c>
    </row>
    <row r="437" spans="1:11" ht="42" customHeight="1">
      <c r="A437" s="2" t="s">
        <v>1289</v>
      </c>
      <c r="B437" s="2" t="s">
        <v>1290</v>
      </c>
      <c r="C437" s="2" t="s">
        <v>80</v>
      </c>
      <c r="D437" s="2" t="s">
        <v>81</v>
      </c>
      <c r="E437" s="5">
        <v>-29437</v>
      </c>
      <c r="F437" s="3" t="s">
        <v>1147</v>
      </c>
      <c r="G437" s="3" t="s">
        <v>33</v>
      </c>
      <c r="H437" s="2" t="s">
        <v>65</v>
      </c>
      <c r="I437" s="2" t="s">
        <v>1291</v>
      </c>
      <c r="J437" s="3" t="str">
        <f>HYPERLINK("https://www.boe.es/gazeta/dias/1819/05/27/pdfs/GMD-1819-63.pdf#page=6","Abrir facsímil")</f>
        <v>Abrir facsímil</v>
      </c>
      <c r="K437" s="3" t="s">
        <v>67</v>
      </c>
    </row>
    <row r="438" spans="1:11" ht="42" customHeight="1">
      <c r="A438" s="2" t="s">
        <v>1292</v>
      </c>
      <c r="B438" s="2" t="s">
        <v>1292</v>
      </c>
      <c r="C438" s="2" t="s">
        <v>80</v>
      </c>
      <c r="D438" s="2" t="s">
        <v>81</v>
      </c>
      <c r="E438" s="5">
        <v>-29502</v>
      </c>
      <c r="F438" s="3" t="s">
        <v>86</v>
      </c>
      <c r="G438" s="3" t="s">
        <v>102</v>
      </c>
      <c r="H438" s="2" t="s">
        <v>65</v>
      </c>
      <c r="I438" s="2" t="s">
        <v>1293</v>
      </c>
      <c r="J438" s="3" t="str">
        <f>HYPERLINK("https://www.boe.es/gazeta/dias/1819/03/23/pdfs/GMD-1819-35.pdf#page=3","Abrir facsímil")</f>
        <v>Abrir facsímil</v>
      </c>
      <c r="K438" s="3" t="s">
        <v>67</v>
      </c>
    </row>
    <row r="439" spans="1:11" ht="42" customHeight="1">
      <c r="A439" s="2" t="s">
        <v>1294</v>
      </c>
      <c r="B439" s="2" t="s">
        <v>1295</v>
      </c>
      <c r="C439" s="2" t="s">
        <v>59</v>
      </c>
      <c r="D439" s="2" t="s">
        <v>18</v>
      </c>
      <c r="E439" s="5">
        <v>-29423</v>
      </c>
      <c r="F439" s="3" t="s">
        <v>1205</v>
      </c>
      <c r="G439" s="3" t="s">
        <v>296</v>
      </c>
      <c r="H439" s="2" t="s">
        <v>65</v>
      </c>
      <c r="I439" s="2" t="s">
        <v>1296</v>
      </c>
      <c r="J439" s="3" t="str">
        <f>HYPERLINK("https://www.boe.es/gazeta/dias/1819/06/10/pdfs/GMD-1819-69.pdf#page=4","Abrir facsímil")</f>
        <v>Abrir facsímil</v>
      </c>
      <c r="K439" s="3" t="s">
        <v>67</v>
      </c>
    </row>
    <row r="440" spans="1:11" ht="42" customHeight="1">
      <c r="A440" s="2" t="s">
        <v>1297</v>
      </c>
      <c r="B440" s="2" t="s">
        <v>1298</v>
      </c>
      <c r="C440" s="2" t="s">
        <v>59</v>
      </c>
      <c r="D440" s="2" t="s">
        <v>18</v>
      </c>
      <c r="E440" s="5">
        <v>-29292</v>
      </c>
      <c r="F440" s="3" t="s">
        <v>875</v>
      </c>
      <c r="G440" s="3" t="s">
        <v>28</v>
      </c>
      <c r="H440" s="2" t="s">
        <v>65</v>
      </c>
      <c r="I440" s="2" t="s">
        <v>1299</v>
      </c>
      <c r="J440" s="3" t="str">
        <f>HYPERLINK("https://www.boe.es/gazeta/dias/1819/10/19/pdfs/GMD-1819-128.pdf#page=8","Abrir facsímil")</f>
        <v>Abrir facsímil</v>
      </c>
      <c r="K440" s="3" t="s">
        <v>67</v>
      </c>
    </row>
    <row r="441" spans="1:11" ht="42" customHeight="1">
      <c r="A441" s="2" t="s">
        <v>1300</v>
      </c>
      <c r="B441" s="2" t="s">
        <v>1300</v>
      </c>
      <c r="C441" s="2" t="s">
        <v>80</v>
      </c>
      <c r="D441" s="2" t="s">
        <v>81</v>
      </c>
      <c r="E441" s="5">
        <v>-29486</v>
      </c>
      <c r="F441" s="3" t="s">
        <v>330</v>
      </c>
      <c r="G441" s="3" t="s">
        <v>38</v>
      </c>
      <c r="H441" s="2" t="s">
        <v>65</v>
      </c>
      <c r="I441" s="2" t="s">
        <v>1301</v>
      </c>
      <c r="J441" s="3" t="str">
        <f>HYPERLINK("https://www.boe.es/gazeta/dias/1819/04/08/pdfs/GMD-1819-42.pdf#page=5","Abrir facsímil")</f>
        <v>Abrir facsímil</v>
      </c>
      <c r="K441" s="3" t="s">
        <v>67</v>
      </c>
    </row>
    <row r="442" spans="1:11" ht="42" customHeight="1">
      <c r="A442" s="2" t="s">
        <v>1302</v>
      </c>
      <c r="B442" s="2" t="s">
        <v>1303</v>
      </c>
      <c r="C442" s="2" t="s">
        <v>63</v>
      </c>
      <c r="D442" s="2" t="s">
        <v>454</v>
      </c>
      <c r="E442" s="5">
        <v>-29324</v>
      </c>
      <c r="F442" s="3" t="s">
        <v>914</v>
      </c>
      <c r="G442" s="3" t="s">
        <v>102</v>
      </c>
      <c r="H442" s="2" t="s">
        <v>65</v>
      </c>
      <c r="I442" s="2" t="s">
        <v>1304</v>
      </c>
      <c r="J442" s="3" t="str">
        <f>HYPERLINK("https://www.boe.es/gazeta/dias/1819/09/17/pdfs/GMD-1819-114E.pdf#page=3","Abrir facsímil")</f>
        <v>Abrir facsímil</v>
      </c>
      <c r="K442" s="3" t="s">
        <v>67</v>
      </c>
    </row>
    <row r="443" spans="1:11" ht="42" customHeight="1">
      <c r="A443" s="2" t="s">
        <v>1305</v>
      </c>
      <c r="B443" s="2" t="s">
        <v>1306</v>
      </c>
      <c r="C443" s="2" t="s">
        <v>80</v>
      </c>
      <c r="D443" s="2" t="s">
        <v>81</v>
      </c>
      <c r="E443" s="5">
        <v>-29346</v>
      </c>
      <c r="F443" s="3" t="s">
        <v>718</v>
      </c>
      <c r="G443" s="3" t="s">
        <v>33</v>
      </c>
      <c r="H443" s="2" t="s">
        <v>65</v>
      </c>
      <c r="I443" s="2" t="s">
        <v>1307</v>
      </c>
      <c r="J443" s="3" t="str">
        <f>HYPERLINK("https://www.boe.es/gazeta/dias/1819/08/26/pdfs/GMD-1819-103.pdf#page=6","Abrir facsímil")</f>
        <v>Abrir facsímil</v>
      </c>
      <c r="K443" s="3" t="s">
        <v>67</v>
      </c>
    </row>
    <row r="444" spans="1:11" ht="42" customHeight="1">
      <c r="A444" s="2" t="s">
        <v>1308</v>
      </c>
      <c r="B444" s="2" t="s">
        <v>1308</v>
      </c>
      <c r="C444" s="2" t="s">
        <v>17</v>
      </c>
      <c r="D444" s="2" t="s">
        <v>18</v>
      </c>
      <c r="E444" s="5">
        <v>-29428</v>
      </c>
      <c r="F444" s="3" t="s">
        <v>730</v>
      </c>
      <c r="G444" s="3" t="s">
        <v>259</v>
      </c>
      <c r="H444" s="2" t="s">
        <v>65</v>
      </c>
      <c r="I444" s="2" t="s">
        <v>1309</v>
      </c>
      <c r="J444" s="3" t="str">
        <f>HYPERLINK("https://www.boe.es/gazeta/dias/1819/06/05/pdfs/GMD-1819-67.pdf#page=2","Abrir facsímil")</f>
        <v>Abrir facsímil</v>
      </c>
      <c r="K444" s="3" t="s">
        <v>67</v>
      </c>
    </row>
    <row r="445" spans="1:11" ht="42" customHeight="1">
      <c r="A445" s="2" t="s">
        <v>1310</v>
      </c>
      <c r="B445" s="2" t="s">
        <v>1310</v>
      </c>
      <c r="C445" s="2" t="s">
        <v>59</v>
      </c>
      <c r="D445" s="2" t="s">
        <v>18</v>
      </c>
      <c r="E445" s="5">
        <v>-29386</v>
      </c>
      <c r="F445" s="3" t="s">
        <v>568</v>
      </c>
      <c r="G445" s="3" t="s">
        <v>259</v>
      </c>
      <c r="H445" s="2" t="s">
        <v>65</v>
      </c>
      <c r="I445" s="2" t="s">
        <v>1311</v>
      </c>
      <c r="J445" s="3" t="str">
        <f>HYPERLINK("https://www.boe.es/gazeta/dias/1819/07/17/pdfs/GMD-1819-86.pdf#page=2","Abrir facsímil")</f>
        <v>Abrir facsímil</v>
      </c>
      <c r="K445" s="3" t="s">
        <v>67</v>
      </c>
    </row>
    <row r="446" spans="1:11" ht="42" customHeight="1">
      <c r="A446" s="2" t="s">
        <v>1312</v>
      </c>
      <c r="B446" s="2" t="s">
        <v>1312</v>
      </c>
      <c r="C446" s="2" t="s">
        <v>80</v>
      </c>
      <c r="D446" s="2" t="s">
        <v>81</v>
      </c>
      <c r="E446" s="5">
        <v>-29502</v>
      </c>
      <c r="F446" s="3" t="s">
        <v>86</v>
      </c>
      <c r="G446" s="3" t="s">
        <v>102</v>
      </c>
      <c r="H446" s="2" t="s">
        <v>65</v>
      </c>
      <c r="I446" s="2" t="s">
        <v>1313</v>
      </c>
      <c r="J446" s="3" t="str">
        <f>HYPERLINK("https://www.boe.es/gazeta/dias/1819/03/23/pdfs/GMD-1819-35.pdf#page=3","Abrir facsímil")</f>
        <v>Abrir facsímil</v>
      </c>
      <c r="K446" s="3" t="s">
        <v>67</v>
      </c>
    </row>
    <row r="447" spans="1:11" ht="42" customHeight="1">
      <c r="A447" s="2" t="s">
        <v>1314</v>
      </c>
      <c r="B447" s="2" t="s">
        <v>1315</v>
      </c>
      <c r="C447" s="2" t="s">
        <v>26</v>
      </c>
      <c r="D447" s="2" t="s">
        <v>18</v>
      </c>
      <c r="E447" s="5">
        <v>-29355</v>
      </c>
      <c r="F447" s="3" t="s">
        <v>347</v>
      </c>
      <c r="G447" s="3" t="s">
        <v>348</v>
      </c>
      <c r="H447" s="2" t="s">
        <v>65</v>
      </c>
      <c r="I447" s="2" t="s">
        <v>1316</v>
      </c>
      <c r="J447" s="3" t="str">
        <f>HYPERLINK("https://www.boe.es/gazeta/dias/1819/08/17/pdfs/GMD-1819-99.pdf#page=6","Abrir facsímil")</f>
        <v>Abrir facsímil</v>
      </c>
      <c r="K447" s="3" t="s">
        <v>67</v>
      </c>
    </row>
    <row r="448" spans="1:11" ht="42" customHeight="1">
      <c r="A448" s="2" t="s">
        <v>1317</v>
      </c>
      <c r="B448" s="2" t="s">
        <v>1317</v>
      </c>
      <c r="C448" s="2" t="s">
        <v>80</v>
      </c>
      <c r="D448" s="2" t="s">
        <v>81</v>
      </c>
      <c r="E448" s="5">
        <v>-29390</v>
      </c>
      <c r="F448" s="3" t="s">
        <v>263</v>
      </c>
      <c r="G448" s="3" t="s">
        <v>38</v>
      </c>
      <c r="H448" s="2" t="s">
        <v>65</v>
      </c>
      <c r="I448" s="2" t="s">
        <v>1318</v>
      </c>
      <c r="J448" s="3" t="str">
        <f>HYPERLINK("https://www.boe.es/gazeta/dias/1819/07/13/pdfs/GMD-1819-84.pdf#page=5","Abrir facsímil")</f>
        <v>Abrir facsímil</v>
      </c>
      <c r="K448" s="3" t="s">
        <v>67</v>
      </c>
    </row>
    <row r="449" spans="1:11" ht="42" customHeight="1">
      <c r="A449" s="2" t="s">
        <v>1319</v>
      </c>
      <c r="B449" s="2" t="s">
        <v>1320</v>
      </c>
      <c r="C449" s="2" t="s">
        <v>80</v>
      </c>
      <c r="D449" s="2" t="s">
        <v>81</v>
      </c>
      <c r="E449" s="5">
        <v>-29390</v>
      </c>
      <c r="F449" s="3" t="s">
        <v>263</v>
      </c>
      <c r="G449" s="3" t="s">
        <v>38</v>
      </c>
      <c r="H449" s="2" t="s">
        <v>65</v>
      </c>
      <c r="I449" s="2" t="s">
        <v>1321</v>
      </c>
      <c r="J449" s="3" t="str">
        <f>HYPERLINK("https://www.boe.es/gazeta/dias/1819/07/13/pdfs/GMD-1819-84.pdf#page=5","Abrir facsímil")</f>
        <v>Abrir facsímil</v>
      </c>
      <c r="K449" s="3" t="s">
        <v>67</v>
      </c>
    </row>
    <row r="450" spans="1:11" ht="42" customHeight="1">
      <c r="A450" s="2" t="s">
        <v>1322</v>
      </c>
      <c r="B450" s="2" t="s">
        <v>1322</v>
      </c>
      <c r="C450" s="2" t="s">
        <v>136</v>
      </c>
      <c r="D450" s="2" t="s">
        <v>18</v>
      </c>
      <c r="E450" s="5">
        <v>-29521</v>
      </c>
      <c r="F450" s="3" t="s">
        <v>1002</v>
      </c>
      <c r="G450" s="3" t="s">
        <v>102</v>
      </c>
      <c r="H450" s="2" t="s">
        <v>65</v>
      </c>
      <c r="I450" s="2" t="s">
        <v>1323</v>
      </c>
      <c r="J450" s="3" t="str">
        <f>HYPERLINK("https://www.boe.es/gazeta/dias/1819/03/04/pdfs/GMD-1819-27.pdf#page=3","Abrir facsímil")</f>
        <v>Abrir facsímil</v>
      </c>
      <c r="K450" s="3" t="s">
        <v>67</v>
      </c>
    </row>
    <row r="451" spans="1:11" ht="42" customHeight="1">
      <c r="A451" s="2" t="s">
        <v>1324</v>
      </c>
      <c r="B451" s="2" t="s">
        <v>1325</v>
      </c>
      <c r="C451" s="2" t="s">
        <v>59</v>
      </c>
      <c r="D451" s="2" t="s">
        <v>18</v>
      </c>
      <c r="E451" s="5">
        <v>-29533</v>
      </c>
      <c r="F451" s="3" t="s">
        <v>280</v>
      </c>
      <c r="G451" s="3" t="s">
        <v>33</v>
      </c>
      <c r="H451" s="2" t="s">
        <v>65</v>
      </c>
      <c r="I451" s="2" t="s">
        <v>1326</v>
      </c>
      <c r="J451" s="3" t="str">
        <f>HYPERLINK("https://www.boe.es/gazeta/dias/1819/02/20/pdfs/GMD-1819-22.pdf#page=6","Abrir facsímil")</f>
        <v>Abrir facsímil</v>
      </c>
      <c r="K451" s="3" t="s">
        <v>67</v>
      </c>
    </row>
    <row r="452" spans="1:11" ht="42" customHeight="1">
      <c r="A452" s="2" t="s">
        <v>1327</v>
      </c>
      <c r="B452" s="2" t="s">
        <v>1328</v>
      </c>
      <c r="C452" s="2" t="s">
        <v>80</v>
      </c>
      <c r="D452" s="2" t="s">
        <v>81</v>
      </c>
      <c r="E452" s="5">
        <v>-29472</v>
      </c>
      <c r="F452" s="3" t="s">
        <v>393</v>
      </c>
      <c r="G452" s="3" t="s">
        <v>33</v>
      </c>
      <c r="H452" s="2" t="s">
        <v>65</v>
      </c>
      <c r="I452" s="2" t="s">
        <v>1329</v>
      </c>
      <c r="J452" s="3" t="str">
        <f>HYPERLINK("https://www.boe.es/gazeta/dias/1819/04/22/pdfs/GMD-1819-48.pdf#page=6","Abrir facsímil")</f>
        <v>Abrir facsímil</v>
      </c>
      <c r="K452" s="3" t="s">
        <v>67</v>
      </c>
    </row>
    <row r="453" spans="1:11" ht="42" customHeight="1">
      <c r="A453" s="2" t="s">
        <v>1330</v>
      </c>
      <c r="B453" s="2" t="s">
        <v>1331</v>
      </c>
      <c r="C453" s="2" t="s">
        <v>59</v>
      </c>
      <c r="D453" s="2" t="s">
        <v>18</v>
      </c>
      <c r="E453" s="5">
        <v>-29372</v>
      </c>
      <c r="F453" s="3" t="s">
        <v>715</v>
      </c>
      <c r="G453" s="3" t="s">
        <v>716</v>
      </c>
      <c r="H453" s="2" t="s">
        <v>65</v>
      </c>
      <c r="I453" s="2" t="s">
        <v>1332</v>
      </c>
      <c r="J453" s="3" t="str">
        <f>HYPERLINK("https://www.boe.es/gazeta/dias/1819/07/31/pdfs/GMD-1819-92.pdf#page=5","Abrir facsímil")</f>
        <v>Abrir facsímil</v>
      </c>
      <c r="K453" s="3" t="s">
        <v>67</v>
      </c>
    </row>
    <row r="454" spans="1:11" ht="42" customHeight="1">
      <c r="A454" s="2" t="s">
        <v>1333</v>
      </c>
      <c r="B454" s="2" t="s">
        <v>1334</v>
      </c>
      <c r="C454" s="2" t="s">
        <v>42</v>
      </c>
      <c r="D454" s="2" t="s">
        <v>43</v>
      </c>
      <c r="E454" s="5">
        <v>-29281</v>
      </c>
      <c r="F454" s="3" t="s">
        <v>19</v>
      </c>
      <c r="G454" s="3" t="s">
        <v>20</v>
      </c>
      <c r="H454" s="2" t="s">
        <v>65</v>
      </c>
      <c r="I454" s="2" t="s">
        <v>1335</v>
      </c>
      <c r="J454" s="3" t="str">
        <f>HYPERLINK("https://www.boe.es/gazeta/dias/1819/10/30/pdfs/GMD-1819-134.pdf#page=10","Abrir facsímil")</f>
        <v>Abrir facsímil</v>
      </c>
      <c r="K454" s="3" t="s">
        <v>67</v>
      </c>
    </row>
    <row r="455" spans="1:11" ht="42" customHeight="1">
      <c r="A455" s="2" t="s">
        <v>1336</v>
      </c>
      <c r="B455" s="2" t="s">
        <v>1337</v>
      </c>
      <c r="C455" s="2" t="s">
        <v>136</v>
      </c>
      <c r="D455" s="2" t="s">
        <v>18</v>
      </c>
      <c r="E455" s="5">
        <v>-29528</v>
      </c>
      <c r="F455" s="3" t="s">
        <v>708</v>
      </c>
      <c r="G455" s="3" t="s">
        <v>55</v>
      </c>
      <c r="H455" s="2" t="s">
        <v>65</v>
      </c>
      <c r="I455" s="2" t="s">
        <v>1338</v>
      </c>
      <c r="J455" s="3" t="str">
        <f>HYPERLINK("https://www.boe.es/gazeta/dias/1819/02/25/pdfs/GMD-1819-24.pdf#page=7","Abrir facsímil")</f>
        <v>Abrir facsímil</v>
      </c>
      <c r="K455" s="3" t="s">
        <v>67</v>
      </c>
    </row>
    <row r="456" spans="1:11" ht="42" customHeight="1">
      <c r="A456" s="2" t="s">
        <v>1339</v>
      </c>
      <c r="B456" s="2" t="s">
        <v>1340</v>
      </c>
      <c r="C456" s="2" t="s">
        <v>59</v>
      </c>
      <c r="D456" s="2" t="s">
        <v>18</v>
      </c>
      <c r="E456" s="5">
        <v>-29348</v>
      </c>
      <c r="F456" s="3" t="s">
        <v>227</v>
      </c>
      <c r="G456" s="3" t="s">
        <v>55</v>
      </c>
      <c r="H456" s="2" t="s">
        <v>65</v>
      </c>
      <c r="I456" s="2" t="s">
        <v>1341</v>
      </c>
      <c r="J456" s="3" t="str">
        <f>HYPERLINK("https://www.boe.es/gazeta/dias/1819/08/24/pdfs/GMD-1819-102.pdf#page=7","Abrir facsímil")</f>
        <v>Abrir facsímil</v>
      </c>
      <c r="K456" s="3" t="s">
        <v>67</v>
      </c>
    </row>
    <row r="457" spans="1:11" ht="42" customHeight="1">
      <c r="A457" s="2" t="s">
        <v>1342</v>
      </c>
      <c r="B457" s="2" t="s">
        <v>1343</v>
      </c>
      <c r="C457" s="2" t="s">
        <v>63</v>
      </c>
      <c r="D457" s="2" t="s">
        <v>43</v>
      </c>
      <c r="E457" s="5">
        <v>-29575</v>
      </c>
      <c r="F457" s="3" t="s">
        <v>77</v>
      </c>
      <c r="G457" s="3" t="s">
        <v>38</v>
      </c>
      <c r="H457" s="2" t="s">
        <v>65</v>
      </c>
      <c r="I457" s="2" t="s">
        <v>1344</v>
      </c>
      <c r="J457" s="3" t="str">
        <f>HYPERLINK("https://www.boe.es/gazeta/dias/1819/01/09/pdfs/GMD-1819-4.pdf#page=5","Abrir facsímil")</f>
        <v>Abrir facsímil</v>
      </c>
      <c r="K457" s="3" t="s">
        <v>67</v>
      </c>
    </row>
    <row r="458" spans="1:11" ht="42" customHeight="1">
      <c r="A458" s="2" t="s">
        <v>1345</v>
      </c>
      <c r="B458" s="2" t="s">
        <v>1345</v>
      </c>
      <c r="C458" s="2" t="s">
        <v>63</v>
      </c>
      <c r="D458" s="2" t="s">
        <v>43</v>
      </c>
      <c r="E458" s="5">
        <v>-29306</v>
      </c>
      <c r="F458" s="3" t="s">
        <v>303</v>
      </c>
      <c r="G458" s="3" t="s">
        <v>55</v>
      </c>
      <c r="H458" s="2" t="s">
        <v>65</v>
      </c>
      <c r="I458" s="2" t="s">
        <v>1346</v>
      </c>
      <c r="J458" s="3" t="str">
        <f>HYPERLINK("https://www.boe.es/gazeta/dias/1819/10/05/pdfs/GMD-1819-122.pdf#page=7","Abrir facsímil")</f>
        <v>Abrir facsímil</v>
      </c>
      <c r="K458" s="3" t="s">
        <v>67</v>
      </c>
    </row>
    <row r="459" spans="1:11" ht="42" customHeight="1">
      <c r="A459" s="2" t="s">
        <v>1347</v>
      </c>
      <c r="B459" s="2" t="s">
        <v>1347</v>
      </c>
      <c r="C459" s="2" t="s">
        <v>26</v>
      </c>
      <c r="D459" s="2" t="s">
        <v>18</v>
      </c>
      <c r="E459" s="5">
        <v>-29486</v>
      </c>
      <c r="F459" s="3" t="s">
        <v>330</v>
      </c>
      <c r="G459" s="3" t="s">
        <v>28</v>
      </c>
      <c r="H459" s="2" t="s">
        <v>65</v>
      </c>
      <c r="I459" s="2" t="s">
        <v>1348</v>
      </c>
      <c r="J459" s="3" t="str">
        <f>HYPERLINK("https://www.boe.es/gazeta/dias/1819/04/08/pdfs/GMD-1819-42.pdf#page=8","Abrir facsímil")</f>
        <v>Abrir facsímil</v>
      </c>
      <c r="K459" s="3" t="s">
        <v>67</v>
      </c>
    </row>
    <row r="460" spans="1:11" ht="42" customHeight="1">
      <c r="A460" s="2" t="s">
        <v>1349</v>
      </c>
      <c r="B460" s="2" t="s">
        <v>1350</v>
      </c>
      <c r="C460" s="2" t="s">
        <v>215</v>
      </c>
      <c r="D460" s="2" t="s">
        <v>18</v>
      </c>
      <c r="E460" s="5">
        <v>-29316</v>
      </c>
      <c r="F460" s="3" t="s">
        <v>166</v>
      </c>
      <c r="G460" s="3" t="s">
        <v>94</v>
      </c>
      <c r="H460" s="2" t="s">
        <v>65</v>
      </c>
      <c r="I460" s="2" t="s">
        <v>1351</v>
      </c>
      <c r="J460" s="3" t="str">
        <f>HYPERLINK("https://www.boe.es/gazeta/dias/1819/09/25/pdfs/GMD-1819-118.pdf#page=11","Abrir facsímil")</f>
        <v>Abrir facsímil</v>
      </c>
      <c r="K460" s="3" t="s">
        <v>67</v>
      </c>
    </row>
    <row r="461" spans="1:11" ht="42" customHeight="1">
      <c r="A461" s="2" t="s">
        <v>1352</v>
      </c>
      <c r="B461" s="2" t="s">
        <v>1353</v>
      </c>
      <c r="C461" s="2" t="s">
        <v>80</v>
      </c>
      <c r="D461" s="2" t="s">
        <v>81</v>
      </c>
      <c r="E461" s="5">
        <v>-29246</v>
      </c>
      <c r="F461" s="3" t="s">
        <v>494</v>
      </c>
      <c r="G461" s="3" t="s">
        <v>495</v>
      </c>
      <c r="H461" s="2" t="s">
        <v>65</v>
      </c>
      <c r="I461" s="2" t="s">
        <v>1354</v>
      </c>
      <c r="J461" s="3" t="str">
        <f>HYPERLINK("https://www.boe.es/gazeta/dias/1819/12/04/pdfs/GMD-1819-149.pdf#page=6","Abrir facsímil")</f>
        <v>Abrir facsímil</v>
      </c>
      <c r="K461" s="3" t="s">
        <v>67</v>
      </c>
    </row>
    <row r="462" spans="1:11" ht="42" customHeight="1">
      <c r="A462" s="2" t="s">
        <v>1355</v>
      </c>
      <c r="B462" s="2" t="s">
        <v>1355</v>
      </c>
      <c r="C462" s="2" t="s">
        <v>80</v>
      </c>
      <c r="D462" s="2" t="s">
        <v>81</v>
      </c>
      <c r="E462" s="5">
        <v>-29563</v>
      </c>
      <c r="F462" s="3" t="s">
        <v>1087</v>
      </c>
      <c r="G462" s="3" t="s">
        <v>55</v>
      </c>
      <c r="H462" s="2" t="s">
        <v>65</v>
      </c>
      <c r="I462" s="2" t="s">
        <v>1356</v>
      </c>
      <c r="J462" s="3" t="str">
        <f>HYPERLINK("https://www.boe.es/gazeta/dias/1819/01/21/pdfs/GMD-1819-9.pdf#page=7","Abrir facsímil")</f>
        <v>Abrir facsímil</v>
      </c>
      <c r="K462" s="3" t="s">
        <v>67</v>
      </c>
    </row>
    <row r="463" spans="1:11" ht="42" customHeight="1">
      <c r="A463" s="2" t="s">
        <v>1357</v>
      </c>
      <c r="B463" s="2" t="s">
        <v>1358</v>
      </c>
      <c r="C463" s="2" t="s">
        <v>215</v>
      </c>
      <c r="D463" s="2" t="s">
        <v>18</v>
      </c>
      <c r="E463" s="5">
        <v>-29236</v>
      </c>
      <c r="F463" s="3" t="s">
        <v>379</v>
      </c>
      <c r="G463" s="3" t="s">
        <v>102</v>
      </c>
      <c r="H463" s="2" t="s">
        <v>65</v>
      </c>
      <c r="I463" s="2" t="s">
        <v>1359</v>
      </c>
      <c r="J463" s="3" t="str">
        <f>HYPERLINK("https://www.boe.es/gazeta/dias/1819/12/14/pdfs/GMD-1819-153.pdf#page=3","Abrir facsímil")</f>
        <v>Abrir facsímil</v>
      </c>
      <c r="K463" s="3" t="s">
        <v>67</v>
      </c>
    </row>
    <row r="464" spans="1:11" ht="42" customHeight="1">
      <c r="A464" s="2" t="s">
        <v>1360</v>
      </c>
      <c r="B464" s="2" t="s">
        <v>1361</v>
      </c>
      <c r="C464" s="2" t="s">
        <v>80</v>
      </c>
      <c r="D464" s="2" t="s">
        <v>81</v>
      </c>
      <c r="E464" s="5">
        <v>-29316</v>
      </c>
      <c r="F464" s="3" t="s">
        <v>166</v>
      </c>
      <c r="G464" s="3" t="s">
        <v>296</v>
      </c>
      <c r="H464" s="2" t="s">
        <v>65</v>
      </c>
      <c r="I464" s="2" t="s">
        <v>1362</v>
      </c>
      <c r="J464" s="3" t="str">
        <f>HYPERLINK("https://www.boe.es/gazeta/dias/1819/09/25/pdfs/GMD-1819-118.pdf#page=4","Abrir facsímil")</f>
        <v>Abrir facsímil</v>
      </c>
      <c r="K464" s="3" t="s">
        <v>67</v>
      </c>
    </row>
    <row r="465" spans="1:11" ht="42" customHeight="1">
      <c r="A465" s="2" t="s">
        <v>1363</v>
      </c>
      <c r="B465" s="2" t="s">
        <v>1364</v>
      </c>
      <c r="C465" s="2" t="s">
        <v>59</v>
      </c>
      <c r="D465" s="2" t="s">
        <v>18</v>
      </c>
      <c r="E465" s="5">
        <v>-29271</v>
      </c>
      <c r="F465" s="3" t="s">
        <v>32</v>
      </c>
      <c r="G465" s="3" t="s">
        <v>33</v>
      </c>
      <c r="H465" s="2" t="s">
        <v>65</v>
      </c>
      <c r="I465" s="2" t="s">
        <v>1365</v>
      </c>
      <c r="J465" s="3" t="str">
        <f>HYPERLINK("https://www.boe.es/gazeta/dias/1819/11/09/pdfs/GMD-1819-138.pdf#page=6","Abrir facsímil")</f>
        <v>Abrir facsímil</v>
      </c>
      <c r="K465" s="3" t="s">
        <v>67</v>
      </c>
    </row>
    <row r="466" spans="1:11" ht="42" customHeight="1">
      <c r="A466" s="2" t="s">
        <v>1366</v>
      </c>
      <c r="B466" s="2" t="s">
        <v>1366</v>
      </c>
      <c r="C466" s="2" t="s">
        <v>63</v>
      </c>
      <c r="D466" s="2" t="s">
        <v>43</v>
      </c>
      <c r="E466" s="5">
        <v>-29542</v>
      </c>
      <c r="F466" s="3" t="s">
        <v>607</v>
      </c>
      <c r="G466" s="3" t="s">
        <v>296</v>
      </c>
      <c r="H466" s="2" t="s">
        <v>65</v>
      </c>
      <c r="I466" s="2" t="s">
        <v>1367</v>
      </c>
      <c r="J466" s="3" t="str">
        <f>HYPERLINK("https://www.boe.es/gazeta/dias/1819/02/11/pdfs/GMD-1819-18.pdf#page=4","Abrir facsímil")</f>
        <v>Abrir facsímil</v>
      </c>
      <c r="K466" s="3" t="s">
        <v>67</v>
      </c>
    </row>
    <row r="467" spans="1:11" ht="42" customHeight="1">
      <c r="A467" s="2" t="s">
        <v>1368</v>
      </c>
      <c r="B467" s="2" t="s">
        <v>1369</v>
      </c>
      <c r="C467" s="2" t="s">
        <v>80</v>
      </c>
      <c r="D467" s="2" t="s">
        <v>81</v>
      </c>
      <c r="E467" s="5">
        <v>-29285</v>
      </c>
      <c r="F467" s="3" t="s">
        <v>578</v>
      </c>
      <c r="G467" s="3" t="s">
        <v>55</v>
      </c>
      <c r="H467" s="2" t="s">
        <v>65</v>
      </c>
      <c r="I467" s="2" t="s">
        <v>1370</v>
      </c>
      <c r="J467" s="3" t="str">
        <f>HYPERLINK("https://www.boe.es/gazeta/dias/1819/10/26/pdfs/GMD-1819-132.pdf#page=7","Abrir facsímil")</f>
        <v>Abrir facsímil</v>
      </c>
      <c r="K467" s="3" t="s">
        <v>67</v>
      </c>
    </row>
    <row r="468" spans="1:11" ht="42" customHeight="1">
      <c r="A468" s="2" t="s">
        <v>1371</v>
      </c>
      <c r="B468" s="2" t="s">
        <v>1372</v>
      </c>
      <c r="C468" s="2" t="s">
        <v>59</v>
      </c>
      <c r="D468" s="2" t="s">
        <v>18</v>
      </c>
      <c r="E468" s="5">
        <v>-29292</v>
      </c>
      <c r="F468" s="3" t="s">
        <v>875</v>
      </c>
      <c r="G468" s="3" t="s">
        <v>28</v>
      </c>
      <c r="H468" s="2" t="s">
        <v>65</v>
      </c>
      <c r="I468" s="2" t="s">
        <v>1373</v>
      </c>
      <c r="J468" s="3" t="str">
        <f>HYPERLINK("https://www.boe.es/gazeta/dias/1819/10/19/pdfs/GMD-1819-128.pdf#page=8","Abrir facsímil")</f>
        <v>Abrir facsímil</v>
      </c>
      <c r="K468" s="3" t="s">
        <v>67</v>
      </c>
    </row>
    <row r="469" spans="1:11" ht="42" customHeight="1">
      <c r="A469" s="2" t="s">
        <v>1374</v>
      </c>
      <c r="B469" s="2" t="s">
        <v>1375</v>
      </c>
      <c r="C469" s="2" t="s">
        <v>59</v>
      </c>
      <c r="D469" s="2" t="s">
        <v>18</v>
      </c>
      <c r="E469" s="5">
        <v>-29325</v>
      </c>
      <c r="F469" s="3" t="s">
        <v>174</v>
      </c>
      <c r="G469" s="3" t="s">
        <v>33</v>
      </c>
      <c r="H469" s="2" t="s">
        <v>65</v>
      </c>
      <c r="I469" s="2" t="s">
        <v>1376</v>
      </c>
      <c r="J469" s="3" t="str">
        <f>HYPERLINK("https://www.boe.es/gazeta/dias/1819/09/16/pdfs/GMD-1819-113.pdf#page=6","Abrir facsímil")</f>
        <v>Abrir facsímil</v>
      </c>
      <c r="K469" s="3" t="s">
        <v>67</v>
      </c>
    </row>
    <row r="470" spans="1:11" ht="42" customHeight="1">
      <c r="A470" s="2" t="s">
        <v>1377</v>
      </c>
      <c r="B470" s="2" t="s">
        <v>1378</v>
      </c>
      <c r="C470" s="2" t="s">
        <v>80</v>
      </c>
      <c r="D470" s="2" t="s">
        <v>81</v>
      </c>
      <c r="E470" s="5">
        <v>-29488</v>
      </c>
      <c r="F470" s="3" t="s">
        <v>27</v>
      </c>
      <c r="G470" s="3" t="s">
        <v>55</v>
      </c>
      <c r="H470" s="2" t="s">
        <v>65</v>
      </c>
      <c r="I470" s="2" t="s">
        <v>1379</v>
      </c>
      <c r="J470" s="3" t="str">
        <f>HYPERLINK("https://www.boe.es/gazeta/dias/1819/04/06/pdfs/GMD-1819-41.pdf#page=7","Abrir facsímil")</f>
        <v>Abrir facsímil</v>
      </c>
      <c r="K470" s="3" t="s">
        <v>67</v>
      </c>
    </row>
    <row r="471" spans="1:11" ht="42" customHeight="1">
      <c r="A471" s="2" t="s">
        <v>1380</v>
      </c>
      <c r="B471" s="2" t="s">
        <v>1381</v>
      </c>
      <c r="C471" s="2" t="s">
        <v>63</v>
      </c>
      <c r="D471" s="2" t="s">
        <v>43</v>
      </c>
      <c r="E471" s="5">
        <v>-29241</v>
      </c>
      <c r="F471" s="3" t="s">
        <v>1382</v>
      </c>
      <c r="G471" s="3" t="s">
        <v>259</v>
      </c>
      <c r="H471" s="2" t="s">
        <v>65</v>
      </c>
      <c r="I471" s="2" t="s">
        <v>1383</v>
      </c>
      <c r="J471" s="3" t="str">
        <f>HYPERLINK("https://www.boe.es/gazeta/dias/1819/12/09/pdfs/GMD-1819-151.pdf#page=2","Abrir facsímil")</f>
        <v>Abrir facsímil</v>
      </c>
      <c r="K471" s="3" t="s">
        <v>67</v>
      </c>
    </row>
    <row r="472" spans="1:11" ht="42" customHeight="1">
      <c r="A472" s="2" t="s">
        <v>1384</v>
      </c>
      <c r="B472" s="2" t="s">
        <v>1385</v>
      </c>
      <c r="C472" s="2" t="s">
        <v>59</v>
      </c>
      <c r="D472" s="2" t="s">
        <v>18</v>
      </c>
      <c r="E472" s="5">
        <v>-29316</v>
      </c>
      <c r="F472" s="3" t="s">
        <v>166</v>
      </c>
      <c r="G472" s="3" t="s">
        <v>28</v>
      </c>
      <c r="H472" s="2" t="s">
        <v>65</v>
      </c>
      <c r="I472" s="2" t="s">
        <v>1386</v>
      </c>
      <c r="J472" s="3" t="str">
        <f>HYPERLINK("https://www.boe.es/gazeta/dias/1819/09/25/pdfs/GMD-1819-118.pdf#page=8","Abrir facsímil")</f>
        <v>Abrir facsímil</v>
      </c>
      <c r="K472" s="3" t="s">
        <v>67</v>
      </c>
    </row>
    <row r="473" spans="1:11" ht="42" customHeight="1">
      <c r="A473" s="2" t="s">
        <v>1384</v>
      </c>
      <c r="B473" s="2" t="s">
        <v>1385</v>
      </c>
      <c r="C473" s="2" t="s">
        <v>42</v>
      </c>
      <c r="D473" s="2" t="s">
        <v>43</v>
      </c>
      <c r="E473" s="5">
        <v>-29292</v>
      </c>
      <c r="F473" s="3" t="s">
        <v>875</v>
      </c>
      <c r="G473" s="3" t="s">
        <v>38</v>
      </c>
      <c r="H473" s="2" t="s">
        <v>65</v>
      </c>
      <c r="I473" s="2" t="s">
        <v>1387</v>
      </c>
      <c r="J473" s="3" t="str">
        <f>HYPERLINK("https://www.boe.es/gazeta/dias/1819/10/19/pdfs/GMD-1819-128.pdf#page=5","Abrir facsímil")</f>
        <v>Abrir facsímil</v>
      </c>
      <c r="K473" s="3" t="s">
        <v>67</v>
      </c>
    </row>
    <row r="474" spans="1:11" ht="42" customHeight="1">
      <c r="A474" s="2" t="s">
        <v>1388</v>
      </c>
      <c r="B474" s="2" t="s">
        <v>1389</v>
      </c>
      <c r="C474" s="2" t="s">
        <v>80</v>
      </c>
      <c r="D474" s="2" t="s">
        <v>81</v>
      </c>
      <c r="E474" s="5">
        <v>-29535</v>
      </c>
      <c r="F474" s="3" t="s">
        <v>200</v>
      </c>
      <c r="G474" s="3" t="s">
        <v>28</v>
      </c>
      <c r="H474" s="2" t="s">
        <v>65</v>
      </c>
      <c r="I474" s="2" t="s">
        <v>1390</v>
      </c>
      <c r="J474" s="3" t="str">
        <f>HYPERLINK("https://www.boe.es/gazeta/dias/1819/02/18/pdfs/GMD-1819-21.pdf#page=8","Abrir facsímil")</f>
        <v>Abrir facsímil</v>
      </c>
      <c r="K474" s="3" t="s">
        <v>67</v>
      </c>
    </row>
    <row r="475" spans="1:11" ht="42" customHeight="1">
      <c r="A475" s="2" t="s">
        <v>1388</v>
      </c>
      <c r="B475" s="2" t="s">
        <v>1389</v>
      </c>
      <c r="C475" s="2" t="s">
        <v>80</v>
      </c>
      <c r="D475" s="2" t="s">
        <v>81</v>
      </c>
      <c r="E475" s="5">
        <v>-29292</v>
      </c>
      <c r="F475" s="3" t="s">
        <v>875</v>
      </c>
      <c r="G475" s="3" t="s">
        <v>38</v>
      </c>
      <c r="H475" s="2" t="s">
        <v>65</v>
      </c>
      <c r="I475" s="2" t="s">
        <v>1391</v>
      </c>
      <c r="J475" s="3" t="str">
        <f>HYPERLINK("https://www.boe.es/gazeta/dias/1819/10/19/pdfs/GMD-1819-128.pdf#page=5","Abrir facsímil")</f>
        <v>Abrir facsímil</v>
      </c>
      <c r="K475" s="3" t="s">
        <v>67</v>
      </c>
    </row>
    <row r="476" spans="1:11" ht="42" customHeight="1">
      <c r="A476" s="2" t="s">
        <v>1388</v>
      </c>
      <c r="B476" s="2" t="s">
        <v>1389</v>
      </c>
      <c r="C476" s="2" t="s">
        <v>63</v>
      </c>
      <c r="D476" s="2" t="s">
        <v>43</v>
      </c>
      <c r="E476" s="5">
        <v>-29222</v>
      </c>
      <c r="F476" s="3" t="s">
        <v>338</v>
      </c>
      <c r="G476" s="3" t="s">
        <v>38</v>
      </c>
      <c r="H476" s="2" t="s">
        <v>65</v>
      </c>
      <c r="I476" s="2" t="s">
        <v>1392</v>
      </c>
      <c r="J476" s="3" t="str">
        <f>HYPERLINK("https://www.boe.es/gazeta/dias/1819/12/28/pdfs/GMD-1819-159.pdf#page=5","Abrir facsímil")</f>
        <v>Abrir facsímil</v>
      </c>
      <c r="K476" s="3" t="s">
        <v>67</v>
      </c>
    </row>
    <row r="477" spans="1:11" ht="42" customHeight="1">
      <c r="A477" s="2" t="s">
        <v>1393</v>
      </c>
      <c r="B477" s="2" t="s">
        <v>1394</v>
      </c>
      <c r="C477" s="2" t="s">
        <v>80</v>
      </c>
      <c r="D477" s="2" t="s">
        <v>81</v>
      </c>
      <c r="E477" s="5">
        <v>-29472</v>
      </c>
      <c r="F477" s="3" t="s">
        <v>393</v>
      </c>
      <c r="G477" s="3" t="s">
        <v>33</v>
      </c>
      <c r="H477" s="2" t="s">
        <v>65</v>
      </c>
      <c r="I477" s="2" t="s">
        <v>1395</v>
      </c>
      <c r="J477" s="3" t="str">
        <f>HYPERLINK("https://www.boe.es/gazeta/dias/1819/04/22/pdfs/GMD-1819-48.pdf#page=6","Abrir facsímil")</f>
        <v>Abrir facsímil</v>
      </c>
      <c r="K477" s="3" t="s">
        <v>67</v>
      </c>
    </row>
    <row r="478" spans="1:11" ht="42" customHeight="1">
      <c r="A478" s="2" t="s">
        <v>1396</v>
      </c>
      <c r="B478" s="2" t="s">
        <v>1397</v>
      </c>
      <c r="C478" s="2" t="s">
        <v>26</v>
      </c>
      <c r="D478" s="2" t="s">
        <v>18</v>
      </c>
      <c r="E478" s="5">
        <v>-29428</v>
      </c>
      <c r="F478" s="3" t="s">
        <v>730</v>
      </c>
      <c r="G478" s="3" t="s">
        <v>28</v>
      </c>
      <c r="H478" s="2" t="s">
        <v>21</v>
      </c>
      <c r="I478" s="2" t="s">
        <v>1398</v>
      </c>
      <c r="J478" s="3" t="str">
        <f>HYPERLINK("https://www.boe.es/gazeta/dias/1819/06/05/pdfs/GMD-1819-67.pdf#page=8","Abrir facsímil")</f>
        <v>Abrir facsímil</v>
      </c>
      <c r="K478" s="3" t="s">
        <v>23</v>
      </c>
    </row>
    <row r="479" spans="1:11" ht="42" customHeight="1">
      <c r="A479" s="2" t="s">
        <v>1399</v>
      </c>
      <c r="B479" s="2" t="s">
        <v>1400</v>
      </c>
      <c r="C479" s="2" t="s">
        <v>59</v>
      </c>
      <c r="D479" s="2" t="s">
        <v>18</v>
      </c>
      <c r="E479" s="5">
        <v>-29493</v>
      </c>
      <c r="F479" s="3" t="s">
        <v>404</v>
      </c>
      <c r="G479" s="3" t="s">
        <v>55</v>
      </c>
      <c r="H479" s="2" t="s">
        <v>65</v>
      </c>
      <c r="I479" s="2" t="s">
        <v>1401</v>
      </c>
      <c r="J479" s="3" t="str">
        <f>HYPERLINK("https://www.boe.es/gazeta/dias/1819/04/01/pdfs/GMD-1819-39.pdf#page=7","Abrir facsímil")</f>
        <v>Abrir facsímil</v>
      </c>
      <c r="K479" s="3" t="s">
        <v>67</v>
      </c>
    </row>
    <row r="480" spans="1:11" ht="42" customHeight="1">
      <c r="A480" s="2" t="s">
        <v>1402</v>
      </c>
      <c r="B480" s="2" t="s">
        <v>1402</v>
      </c>
      <c r="C480" s="2" t="s">
        <v>80</v>
      </c>
      <c r="D480" s="2" t="s">
        <v>81</v>
      </c>
      <c r="E480" s="5">
        <v>-29337</v>
      </c>
      <c r="F480" s="3" t="s">
        <v>1098</v>
      </c>
      <c r="G480" s="3" t="s">
        <v>38</v>
      </c>
      <c r="H480" s="2" t="s">
        <v>65</v>
      </c>
      <c r="I480" s="2" t="s">
        <v>1403</v>
      </c>
      <c r="J480" s="3" t="str">
        <f>HYPERLINK("https://www.boe.es/gazeta/dias/1819/09/04/pdfs/GMD-1819-108.pdf#page=5","Abrir facsímil")</f>
        <v>Abrir facsímil</v>
      </c>
      <c r="K480" s="3" t="s">
        <v>67</v>
      </c>
    </row>
    <row r="481" spans="1:11" ht="42" customHeight="1">
      <c r="A481" s="2" t="s">
        <v>1404</v>
      </c>
      <c r="B481" s="2" t="s">
        <v>1405</v>
      </c>
      <c r="C481" s="2" t="s">
        <v>136</v>
      </c>
      <c r="D481" s="2" t="s">
        <v>18</v>
      </c>
      <c r="E481" s="5">
        <v>-29330</v>
      </c>
      <c r="F481" s="3" t="s">
        <v>1406</v>
      </c>
      <c r="G481" s="3" t="s">
        <v>28</v>
      </c>
      <c r="H481" s="2" t="s">
        <v>65</v>
      </c>
      <c r="I481" s="2" t="s">
        <v>1407</v>
      </c>
      <c r="J481" s="3" t="str">
        <f>HYPERLINK("https://www.boe.es/gazeta/dias/1819/09/11/pdfs/GMD-1819-111.pdf#page=8","Abrir facsímil")</f>
        <v>Abrir facsímil</v>
      </c>
      <c r="K481" s="3" t="s">
        <v>67</v>
      </c>
    </row>
    <row r="482" spans="1:11" ht="42" customHeight="1">
      <c r="A482" s="2" t="s">
        <v>1408</v>
      </c>
      <c r="B482" s="2" t="s">
        <v>1409</v>
      </c>
      <c r="C482" s="2" t="s">
        <v>17</v>
      </c>
      <c r="D482" s="2" t="s">
        <v>18</v>
      </c>
      <c r="E482" s="5">
        <v>-29257</v>
      </c>
      <c r="F482" s="3" t="s">
        <v>73</v>
      </c>
      <c r="G482" s="3" t="s">
        <v>826</v>
      </c>
      <c r="H482" s="2" t="s">
        <v>65</v>
      </c>
      <c r="I482" s="2" t="s">
        <v>1410</v>
      </c>
      <c r="J482" s="3" t="str">
        <f>HYPERLINK("https://www.boe.es/gazeta/dias/1819/11/23/pdfs/GMD-1819-144.pdf#page=11","Abrir facsímil")</f>
        <v>Abrir facsímil</v>
      </c>
      <c r="K482" s="3" t="s">
        <v>67</v>
      </c>
    </row>
    <row r="483" spans="1:11" ht="42" customHeight="1">
      <c r="A483" s="2" t="s">
        <v>1411</v>
      </c>
      <c r="B483" s="2" t="s">
        <v>1412</v>
      </c>
      <c r="C483" s="2" t="s">
        <v>215</v>
      </c>
      <c r="D483" s="2" t="s">
        <v>18</v>
      </c>
      <c r="E483" s="5">
        <v>-29540</v>
      </c>
      <c r="F483" s="3" t="s">
        <v>154</v>
      </c>
      <c r="G483" s="3" t="s">
        <v>55</v>
      </c>
      <c r="H483" s="2" t="s">
        <v>65</v>
      </c>
      <c r="I483" s="2" t="s">
        <v>1413</v>
      </c>
      <c r="J483" s="3" t="str">
        <f>HYPERLINK("https://www.boe.es/gazeta/dias/1819/02/13/pdfs/GMD-1819-19.pdf#page=7","Abrir facsímil")</f>
        <v>Abrir facsímil</v>
      </c>
      <c r="K483" s="3" t="s">
        <v>67</v>
      </c>
    </row>
    <row r="484" spans="1:11" ht="42" customHeight="1">
      <c r="A484" s="2" t="s">
        <v>1414</v>
      </c>
      <c r="B484" s="2" t="s">
        <v>1414</v>
      </c>
      <c r="C484" s="2" t="s">
        <v>63</v>
      </c>
      <c r="D484" s="2" t="s">
        <v>43</v>
      </c>
      <c r="E484" s="5">
        <v>-29281</v>
      </c>
      <c r="F484" s="3" t="s">
        <v>19</v>
      </c>
      <c r="G484" s="3" t="s">
        <v>20</v>
      </c>
      <c r="H484" s="2" t="s">
        <v>65</v>
      </c>
      <c r="I484" s="2" t="s">
        <v>1415</v>
      </c>
      <c r="J484" s="3" t="str">
        <f>HYPERLINK("https://www.boe.es/gazeta/dias/1819/10/30/pdfs/GMD-1819-134.pdf#page=10","Abrir facsímil")</f>
        <v>Abrir facsímil</v>
      </c>
      <c r="K484" s="3" t="s">
        <v>67</v>
      </c>
    </row>
    <row r="485" spans="1:11" ht="42" customHeight="1">
      <c r="A485" s="2" t="s">
        <v>1416</v>
      </c>
      <c r="B485" s="2" t="s">
        <v>1417</v>
      </c>
      <c r="C485" s="2" t="s">
        <v>80</v>
      </c>
      <c r="D485" s="2" t="s">
        <v>81</v>
      </c>
      <c r="E485" s="5">
        <v>-29530</v>
      </c>
      <c r="F485" s="3" t="s">
        <v>202</v>
      </c>
      <c r="G485" s="3" t="s">
        <v>33</v>
      </c>
      <c r="H485" s="2" t="s">
        <v>65</v>
      </c>
      <c r="I485" s="2" t="s">
        <v>1418</v>
      </c>
      <c r="J485" s="3" t="str">
        <f>HYPERLINK("https://www.boe.es/gazeta/dias/1819/02/23/pdfs/GMD-1819-23.pdf#page=6","Abrir facsímil")</f>
        <v>Abrir facsímil</v>
      </c>
      <c r="K485" s="3" t="s">
        <v>67</v>
      </c>
    </row>
    <row r="486" spans="1:11" ht="42" customHeight="1">
      <c r="A486" s="2" t="s">
        <v>1419</v>
      </c>
      <c r="B486" s="2" t="s">
        <v>1420</v>
      </c>
      <c r="C486" s="2" t="s">
        <v>17</v>
      </c>
      <c r="D486" s="2" t="s">
        <v>18</v>
      </c>
      <c r="E486" s="5">
        <v>-29369</v>
      </c>
      <c r="F486" s="3" t="s">
        <v>231</v>
      </c>
      <c r="G486" s="3" t="s">
        <v>55</v>
      </c>
      <c r="H486" s="2" t="s">
        <v>65</v>
      </c>
      <c r="I486" s="2" t="s">
        <v>1421</v>
      </c>
      <c r="J486" s="3" t="str">
        <f>HYPERLINK("https://www.boe.es/gazeta/dias/1819/08/03/pdfs/GMD-1819-93.pdf#page=7","Abrir facsímil")</f>
        <v>Abrir facsímil</v>
      </c>
      <c r="K486" s="3" t="s">
        <v>67</v>
      </c>
    </row>
    <row r="487" spans="1:11" ht="42" customHeight="1">
      <c r="A487" s="2" t="s">
        <v>1422</v>
      </c>
      <c r="B487" s="2" t="s">
        <v>1422</v>
      </c>
      <c r="C487" s="2" t="s">
        <v>80</v>
      </c>
      <c r="D487" s="2" t="s">
        <v>81</v>
      </c>
      <c r="E487" s="5">
        <v>-29376</v>
      </c>
      <c r="F487" s="3" t="s">
        <v>332</v>
      </c>
      <c r="G487" s="3" t="s">
        <v>102</v>
      </c>
      <c r="H487" s="2" t="s">
        <v>65</v>
      </c>
      <c r="I487" s="2" t="s">
        <v>1423</v>
      </c>
      <c r="J487" s="3" t="str">
        <f>HYPERLINK("https://www.boe.es/gazeta/dias/1819/07/27/pdfs/GMD-1819-90.pdf#page=3","Abrir facsímil")</f>
        <v>Abrir facsímil</v>
      </c>
      <c r="K487" s="3" t="s">
        <v>67</v>
      </c>
    </row>
    <row r="488" spans="1:11" ht="42" customHeight="1">
      <c r="A488" s="2" t="s">
        <v>1424</v>
      </c>
      <c r="B488" s="2" t="s">
        <v>1424</v>
      </c>
      <c r="C488" s="2" t="s">
        <v>80</v>
      </c>
      <c r="D488" s="2" t="s">
        <v>81</v>
      </c>
      <c r="E488" s="5">
        <v>-29528</v>
      </c>
      <c r="F488" s="3" t="s">
        <v>708</v>
      </c>
      <c r="G488" s="3" t="s">
        <v>28</v>
      </c>
      <c r="H488" s="2" t="s">
        <v>65</v>
      </c>
      <c r="I488" s="2" t="s">
        <v>1425</v>
      </c>
      <c r="J488" s="3" t="str">
        <f>HYPERLINK("https://www.boe.es/gazeta/dias/1819/02/25/pdfs/GMD-1819-24.pdf#page=8","Abrir facsímil")</f>
        <v>Abrir facsímil</v>
      </c>
      <c r="K488" s="3" t="s">
        <v>67</v>
      </c>
    </row>
    <row r="489" spans="1:11" ht="42" customHeight="1">
      <c r="A489" s="2" t="s">
        <v>1426</v>
      </c>
      <c r="B489" s="2" t="s">
        <v>1427</v>
      </c>
      <c r="C489" s="2" t="s">
        <v>26</v>
      </c>
      <c r="D489" s="2" t="s">
        <v>18</v>
      </c>
      <c r="E489" s="5">
        <v>-29262</v>
      </c>
      <c r="F489" s="3" t="s">
        <v>1428</v>
      </c>
      <c r="G489" s="3" t="s">
        <v>55</v>
      </c>
      <c r="H489" s="2" t="s">
        <v>65</v>
      </c>
      <c r="I489" s="2" t="s">
        <v>1429</v>
      </c>
      <c r="J489" s="3" t="str">
        <f>HYPERLINK("https://www.boe.es/gazeta/dias/1819/11/18/pdfs/GMD-1819-142.pdf#page=7","Abrir facsímil")</f>
        <v>Abrir facsímil</v>
      </c>
      <c r="K489" s="3" t="s">
        <v>67</v>
      </c>
    </row>
    <row r="490" spans="1:11" ht="42" customHeight="1">
      <c r="A490" s="2" t="s">
        <v>1430</v>
      </c>
      <c r="B490" s="2" t="s">
        <v>1431</v>
      </c>
      <c r="C490" s="2" t="s">
        <v>59</v>
      </c>
      <c r="D490" s="2" t="s">
        <v>18</v>
      </c>
      <c r="E490" s="5">
        <v>-29376</v>
      </c>
      <c r="F490" s="3" t="s">
        <v>332</v>
      </c>
      <c r="G490" s="3" t="s">
        <v>33</v>
      </c>
      <c r="H490" s="2" t="s">
        <v>65</v>
      </c>
      <c r="I490" s="2" t="s">
        <v>1432</v>
      </c>
      <c r="J490" s="3" t="str">
        <f>HYPERLINK("https://www.boe.es/gazeta/dias/1819/07/27/pdfs/GMD-1819-90.pdf#page=6","Abrir facsímil")</f>
        <v>Abrir facsímil</v>
      </c>
      <c r="K490" s="3" t="s">
        <v>67</v>
      </c>
    </row>
    <row r="491" spans="1:11" ht="42" customHeight="1">
      <c r="A491" s="2" t="s">
        <v>1433</v>
      </c>
      <c r="B491" s="2" t="s">
        <v>1434</v>
      </c>
      <c r="C491" s="2" t="s">
        <v>80</v>
      </c>
      <c r="D491" s="2" t="s">
        <v>454</v>
      </c>
      <c r="E491" s="5">
        <v>-29324</v>
      </c>
      <c r="F491" s="3" t="s">
        <v>914</v>
      </c>
      <c r="G491" s="3" t="s">
        <v>102</v>
      </c>
      <c r="H491" s="2" t="s">
        <v>65</v>
      </c>
      <c r="I491" s="2" t="s">
        <v>1435</v>
      </c>
      <c r="J491" s="3" t="str">
        <f>HYPERLINK("https://www.boe.es/gazeta/dias/1819/09/17/pdfs/GMD-1819-114E.pdf#page=3","Abrir facsímil")</f>
        <v>Abrir facsímil</v>
      </c>
      <c r="K491" s="3" t="s">
        <v>67</v>
      </c>
    </row>
    <row r="492" spans="1:11" ht="42" customHeight="1">
      <c r="A492" s="2" t="s">
        <v>1433</v>
      </c>
      <c r="B492" s="2" t="s">
        <v>1434</v>
      </c>
      <c r="C492" s="2" t="s">
        <v>59</v>
      </c>
      <c r="D492" s="2" t="s">
        <v>18</v>
      </c>
      <c r="E492" s="5">
        <v>-29276</v>
      </c>
      <c r="F492" s="3" t="s">
        <v>54</v>
      </c>
      <c r="G492" s="3" t="s">
        <v>55</v>
      </c>
      <c r="H492" s="2" t="s">
        <v>65</v>
      </c>
      <c r="I492" s="2" t="s">
        <v>1436</v>
      </c>
      <c r="J492" s="3" t="str">
        <f>HYPERLINK("https://www.boe.es/gazeta/dias/1819/11/04/pdfs/GMD-1819-136.pdf#page=7","Abrir facsímil")</f>
        <v>Abrir facsímil</v>
      </c>
      <c r="K492" s="3" t="s">
        <v>67</v>
      </c>
    </row>
    <row r="493" spans="1:11" ht="42" customHeight="1">
      <c r="A493" s="2" t="s">
        <v>1437</v>
      </c>
      <c r="B493" s="2" t="s">
        <v>1438</v>
      </c>
      <c r="C493" s="2" t="s">
        <v>26</v>
      </c>
      <c r="D493" s="2" t="s">
        <v>18</v>
      </c>
      <c r="E493" s="5">
        <v>-29505</v>
      </c>
      <c r="F493" s="3" t="s">
        <v>597</v>
      </c>
      <c r="G493" s="3" t="s">
        <v>28</v>
      </c>
      <c r="H493" s="2" t="s">
        <v>21</v>
      </c>
      <c r="I493" s="2" t="s">
        <v>1439</v>
      </c>
      <c r="J493" s="3" t="str">
        <f>HYPERLINK("https://www.boe.es/gazeta/dias/1819/03/20/pdfs/GMD-1819-34.pdf#page=8","Abrir facsímil")</f>
        <v>Abrir facsímil</v>
      </c>
      <c r="K493" s="3" t="s">
        <v>23</v>
      </c>
    </row>
    <row r="494" spans="1:11" ht="42" customHeight="1">
      <c r="A494" s="2" t="s">
        <v>1437</v>
      </c>
      <c r="B494" s="2" t="s">
        <v>1438</v>
      </c>
      <c r="C494" s="2" t="s">
        <v>136</v>
      </c>
      <c r="D494" s="2" t="s">
        <v>18</v>
      </c>
      <c r="E494" s="5">
        <v>-29428</v>
      </c>
      <c r="F494" s="3" t="s">
        <v>730</v>
      </c>
      <c r="G494" s="3" t="s">
        <v>28</v>
      </c>
      <c r="H494" s="2" t="s">
        <v>21</v>
      </c>
      <c r="I494" s="2" t="s">
        <v>1440</v>
      </c>
      <c r="J494" s="3" t="str">
        <f>HYPERLINK("https://www.boe.es/gazeta/dias/1819/06/05/pdfs/GMD-1819-67.pdf#page=8","Abrir facsímil")</f>
        <v>Abrir facsímil</v>
      </c>
      <c r="K494" s="3" t="s">
        <v>23</v>
      </c>
    </row>
    <row r="495" spans="1:11" ht="42" customHeight="1">
      <c r="A495" s="2" t="s">
        <v>1437</v>
      </c>
      <c r="B495" s="2" t="s">
        <v>1438</v>
      </c>
      <c r="C495" s="2" t="s">
        <v>136</v>
      </c>
      <c r="D495" s="2" t="s">
        <v>18</v>
      </c>
      <c r="E495" s="5">
        <v>-29367</v>
      </c>
      <c r="F495" s="3" t="s">
        <v>571</v>
      </c>
      <c r="G495" s="3" t="s">
        <v>28</v>
      </c>
      <c r="H495" s="2" t="s">
        <v>21</v>
      </c>
      <c r="I495" s="2" t="s">
        <v>1441</v>
      </c>
      <c r="J495" s="3" t="str">
        <f>HYPERLINK("https://www.boe.es/gazeta/dias/1819/08/05/pdfs/GMD-1819-94.pdf#page=8","Abrir facsímil")</f>
        <v>Abrir facsímil</v>
      </c>
      <c r="K495" s="3" t="s">
        <v>23</v>
      </c>
    </row>
    <row r="496" spans="1:11" ht="42" customHeight="1">
      <c r="A496" s="2" t="s">
        <v>1437</v>
      </c>
      <c r="B496" s="2" t="s">
        <v>1438</v>
      </c>
      <c r="C496" s="2" t="s">
        <v>136</v>
      </c>
      <c r="D496" s="2" t="s">
        <v>18</v>
      </c>
      <c r="E496" s="5">
        <v>-29318</v>
      </c>
      <c r="F496" s="3" t="s">
        <v>1442</v>
      </c>
      <c r="G496" s="3" t="s">
        <v>1443</v>
      </c>
      <c r="H496" s="2" t="s">
        <v>21</v>
      </c>
      <c r="I496" s="2" t="s">
        <v>1444</v>
      </c>
      <c r="J496" s="3" t="str">
        <f>HYPERLINK("https://www.boe.es/gazeta/dias/1819/09/23/pdfs/GMD-1819-117.pdf#page=8","Abrir facsímil")</f>
        <v>Abrir facsímil</v>
      </c>
      <c r="K496" s="3" t="s">
        <v>23</v>
      </c>
    </row>
    <row r="497" spans="1:11" ht="42" customHeight="1">
      <c r="A497" s="2" t="s">
        <v>1437</v>
      </c>
      <c r="B497" s="2" t="s">
        <v>1438</v>
      </c>
      <c r="C497" s="2" t="s">
        <v>136</v>
      </c>
      <c r="D497" s="2" t="s">
        <v>18</v>
      </c>
      <c r="E497" s="5">
        <v>-29271</v>
      </c>
      <c r="F497" s="3" t="s">
        <v>32</v>
      </c>
      <c r="G497" s="3" t="s">
        <v>28</v>
      </c>
      <c r="H497" s="2" t="s">
        <v>21</v>
      </c>
      <c r="I497" s="2" t="s">
        <v>1445</v>
      </c>
      <c r="J497" s="3" t="str">
        <f>HYPERLINK("https://www.boe.es/gazeta/dias/1819/11/09/pdfs/GMD-1819-138.pdf#page=8","Abrir facsímil")</f>
        <v>Abrir facsímil</v>
      </c>
      <c r="K497" s="3" t="s">
        <v>23</v>
      </c>
    </row>
    <row r="498" spans="1:11" ht="42" customHeight="1">
      <c r="A498" s="2" t="s">
        <v>1446</v>
      </c>
      <c r="B498" s="2" t="s">
        <v>1447</v>
      </c>
      <c r="C498" s="2" t="s">
        <v>80</v>
      </c>
      <c r="D498" s="2" t="s">
        <v>81</v>
      </c>
      <c r="E498" s="5">
        <v>-29332</v>
      </c>
      <c r="F498" s="3" t="s">
        <v>499</v>
      </c>
      <c r="G498" s="3" t="s">
        <v>33</v>
      </c>
      <c r="H498" s="2" t="s">
        <v>65</v>
      </c>
      <c r="I498" s="2" t="s">
        <v>1448</v>
      </c>
      <c r="J498" s="3" t="str">
        <f>HYPERLINK("https://www.boe.es/gazeta/dias/1819/09/09/pdfs/GMD-1819-110.pdf#page=6","Abrir facsímil")</f>
        <v>Abrir facsímil</v>
      </c>
      <c r="K498" s="3" t="s">
        <v>67</v>
      </c>
    </row>
    <row r="499" spans="1:11" ht="42" customHeight="1">
      <c r="A499" s="2" t="s">
        <v>1449</v>
      </c>
      <c r="B499" s="2" t="s">
        <v>1450</v>
      </c>
      <c r="C499" s="2" t="s">
        <v>59</v>
      </c>
      <c r="D499" s="2" t="s">
        <v>18</v>
      </c>
      <c r="E499" s="5">
        <v>-29276</v>
      </c>
      <c r="F499" s="3" t="s">
        <v>54</v>
      </c>
      <c r="G499" s="3" t="s">
        <v>284</v>
      </c>
      <c r="H499" s="2" t="s">
        <v>65</v>
      </c>
      <c r="I499" s="2" t="s">
        <v>1451</v>
      </c>
      <c r="J499" s="3" t="str">
        <f>HYPERLINK("https://www.boe.es/gazeta/dias/1819/11/04/pdfs/GMD-1819-136.pdf#page=6","Abrir facsímil")</f>
        <v>Abrir facsímil</v>
      </c>
      <c r="K499" s="3" t="s">
        <v>67</v>
      </c>
    </row>
    <row r="500" spans="1:11" ht="42" customHeight="1">
      <c r="A500" s="2" t="s">
        <v>1452</v>
      </c>
      <c r="B500" s="2" t="s">
        <v>1453</v>
      </c>
      <c r="C500" s="2" t="s">
        <v>26</v>
      </c>
      <c r="D500" s="2" t="s">
        <v>18</v>
      </c>
      <c r="E500" s="5">
        <v>-29533</v>
      </c>
      <c r="F500" s="3" t="s">
        <v>280</v>
      </c>
      <c r="G500" s="3" t="s">
        <v>28</v>
      </c>
      <c r="H500" s="2" t="s">
        <v>21</v>
      </c>
      <c r="I500" s="2" t="s">
        <v>1454</v>
      </c>
      <c r="J500" s="3" t="str">
        <f>HYPERLINK("https://www.boe.es/gazeta/dias/1819/02/20/pdfs/GMD-1819-22.pdf#page=8","Abrir facsímil")</f>
        <v>Abrir facsímil</v>
      </c>
      <c r="K500" s="3" t="s">
        <v>23</v>
      </c>
    </row>
    <row r="501" spans="1:11" ht="42" customHeight="1">
      <c r="A501" s="2" t="s">
        <v>1455</v>
      </c>
      <c r="B501" s="2" t="s">
        <v>1455</v>
      </c>
      <c r="C501" s="2" t="s">
        <v>26</v>
      </c>
      <c r="D501" s="2" t="s">
        <v>18</v>
      </c>
      <c r="E501" s="5">
        <v>-29407</v>
      </c>
      <c r="F501" s="3" t="s">
        <v>64</v>
      </c>
      <c r="G501" s="3" t="s">
        <v>38</v>
      </c>
      <c r="H501" s="2" t="s">
        <v>65</v>
      </c>
      <c r="I501" s="2" t="s">
        <v>1456</v>
      </c>
      <c r="J501" s="3" t="str">
        <f>HYPERLINK("https://www.boe.es/gazeta/dias/1819/06/26/pdfs/GMD-1819-77.pdf#page=5","Abrir facsímil")</f>
        <v>Abrir facsímil</v>
      </c>
      <c r="K501" s="3" t="s">
        <v>67</v>
      </c>
    </row>
    <row r="502" spans="1:11" ht="42" customHeight="1">
      <c r="A502" s="2" t="s">
        <v>1457</v>
      </c>
      <c r="B502" s="2" t="s">
        <v>1457</v>
      </c>
      <c r="C502" s="2" t="s">
        <v>59</v>
      </c>
      <c r="D502" s="2" t="s">
        <v>18</v>
      </c>
      <c r="E502" s="5">
        <v>-29316</v>
      </c>
      <c r="F502" s="3" t="s">
        <v>166</v>
      </c>
      <c r="G502" s="3" t="s">
        <v>28</v>
      </c>
      <c r="H502" s="2" t="s">
        <v>65</v>
      </c>
      <c r="I502" s="2" t="s">
        <v>1458</v>
      </c>
      <c r="J502" s="3" t="str">
        <f>HYPERLINK("https://www.boe.es/gazeta/dias/1819/09/25/pdfs/GMD-1819-118.pdf#page=8","Abrir facsímil")</f>
        <v>Abrir facsímil</v>
      </c>
      <c r="K502" s="3" t="s">
        <v>67</v>
      </c>
    </row>
    <row r="503" spans="1:11" ht="42" customHeight="1">
      <c r="A503" s="2" t="s">
        <v>1459</v>
      </c>
      <c r="B503" s="2" t="s">
        <v>1460</v>
      </c>
      <c r="C503" s="2" t="s">
        <v>80</v>
      </c>
      <c r="D503" s="2" t="s">
        <v>81</v>
      </c>
      <c r="E503" s="5">
        <v>-29337</v>
      </c>
      <c r="F503" s="3" t="s">
        <v>1098</v>
      </c>
      <c r="G503" s="3" t="s">
        <v>28</v>
      </c>
      <c r="H503" s="2" t="s">
        <v>65</v>
      </c>
      <c r="I503" s="2" t="s">
        <v>1461</v>
      </c>
      <c r="J503" s="3" t="str">
        <f>HYPERLINK("https://www.boe.es/gazeta/dias/1819/09/04/pdfs/GMD-1819-108.pdf#page=8","Abrir facsímil")</f>
        <v>Abrir facsímil</v>
      </c>
      <c r="K503" s="3" t="s">
        <v>67</v>
      </c>
    </row>
    <row r="504" spans="1:11" ht="42" customHeight="1">
      <c r="A504" s="2" t="s">
        <v>1462</v>
      </c>
      <c r="B504" s="2" t="s">
        <v>1462</v>
      </c>
      <c r="C504" s="2" t="s">
        <v>80</v>
      </c>
      <c r="D504" s="2" t="s">
        <v>81</v>
      </c>
      <c r="E504" s="5">
        <v>-29558</v>
      </c>
      <c r="F504" s="3" t="s">
        <v>1463</v>
      </c>
      <c r="G504" s="3" t="s">
        <v>259</v>
      </c>
      <c r="H504" s="2" t="s">
        <v>65</v>
      </c>
      <c r="I504" s="2" t="s">
        <v>1464</v>
      </c>
      <c r="J504" s="3" t="str">
        <f>HYPERLINK("https://www.boe.es/gazeta/dias/1819/01/26/pdfs/GMD-1819-11.pdf#page=2","Abrir facsímil")</f>
        <v>Abrir facsímil</v>
      </c>
      <c r="K504" s="3" t="s">
        <v>67</v>
      </c>
    </row>
    <row r="505" spans="1:11" ht="42" customHeight="1">
      <c r="A505" s="2" t="s">
        <v>1462</v>
      </c>
      <c r="B505" s="2" t="s">
        <v>1462</v>
      </c>
      <c r="C505" s="2" t="s">
        <v>63</v>
      </c>
      <c r="D505" s="2" t="s">
        <v>43</v>
      </c>
      <c r="E505" s="5">
        <v>-29358</v>
      </c>
      <c r="F505" s="3" t="s">
        <v>170</v>
      </c>
      <c r="G505" s="3" t="s">
        <v>239</v>
      </c>
      <c r="H505" s="2" t="s">
        <v>65</v>
      </c>
      <c r="I505" s="2" t="s">
        <v>1465</v>
      </c>
      <c r="J505" s="3" t="str">
        <f>HYPERLINK("https://www.boe.es/gazeta/dias/1819/08/14/pdfs/GMD-1819-98.pdf#page=1","Abrir facsímil")</f>
        <v>Abrir facsímil</v>
      </c>
      <c r="K505" s="3" t="s">
        <v>67</v>
      </c>
    </row>
    <row r="506" spans="1:11" ht="42" customHeight="1">
      <c r="A506" s="2" t="s">
        <v>1462</v>
      </c>
      <c r="B506" s="2" t="s">
        <v>1462</v>
      </c>
      <c r="C506" s="2" t="s">
        <v>215</v>
      </c>
      <c r="D506" s="2" t="s">
        <v>18</v>
      </c>
      <c r="E506" s="5">
        <v>-29320</v>
      </c>
      <c r="F506" s="3" t="s">
        <v>690</v>
      </c>
      <c r="G506" s="3" t="s">
        <v>239</v>
      </c>
      <c r="H506" s="2" t="s">
        <v>65</v>
      </c>
      <c r="I506" s="2" t="s">
        <v>1466</v>
      </c>
      <c r="J506" s="3" t="str">
        <f>HYPERLINK("https://www.boe.es/gazeta/dias/1819/09/21/pdfs/GMD-1819-116.pdf#page=1","Abrir facsímil")</f>
        <v>Abrir facsímil</v>
      </c>
      <c r="K506" s="3" t="s">
        <v>67</v>
      </c>
    </row>
    <row r="507" spans="1:11" ht="42" customHeight="1">
      <c r="A507" s="2" t="s">
        <v>1462</v>
      </c>
      <c r="B507" s="2" t="s">
        <v>1462</v>
      </c>
      <c r="C507" s="2" t="s">
        <v>136</v>
      </c>
      <c r="D507" s="2" t="s">
        <v>18</v>
      </c>
      <c r="E507" s="5">
        <v>-29297</v>
      </c>
      <c r="F507" s="3" t="s">
        <v>82</v>
      </c>
      <c r="G507" s="3" t="s">
        <v>102</v>
      </c>
      <c r="H507" s="2" t="s">
        <v>65</v>
      </c>
      <c r="I507" s="2" t="s">
        <v>1467</v>
      </c>
      <c r="J507" s="3" t="str">
        <f>HYPERLINK("https://www.boe.es/gazeta/dias/1819/10/14/pdfs/GMD-1819-126.pdf#page=3","Abrir facsímil")</f>
        <v>Abrir facsímil</v>
      </c>
      <c r="K507" s="3" t="s">
        <v>67</v>
      </c>
    </row>
    <row r="508" spans="1:11" ht="42" customHeight="1">
      <c r="A508" s="2" t="s">
        <v>1462</v>
      </c>
      <c r="B508" s="2" t="s">
        <v>1462</v>
      </c>
      <c r="C508" s="2" t="s">
        <v>80</v>
      </c>
      <c r="D508" s="2" t="s">
        <v>81</v>
      </c>
      <c r="E508" s="5">
        <v>-29292</v>
      </c>
      <c r="F508" s="3" t="s">
        <v>875</v>
      </c>
      <c r="G508" s="3" t="s">
        <v>239</v>
      </c>
      <c r="H508" s="2" t="s">
        <v>65</v>
      </c>
      <c r="I508" s="2" t="s">
        <v>1468</v>
      </c>
      <c r="J508" s="3" t="str">
        <f>HYPERLINK("https://www.boe.es/gazeta/dias/1819/10/19/pdfs/GMD-1819-128.pdf#page=1","Abrir facsímil")</f>
        <v>Abrir facsímil</v>
      </c>
      <c r="K508" s="3" t="s">
        <v>67</v>
      </c>
    </row>
    <row r="509" spans="1:11" ht="42" customHeight="1">
      <c r="A509" s="2" t="s">
        <v>1469</v>
      </c>
      <c r="B509" s="2" t="s">
        <v>1470</v>
      </c>
      <c r="C509" s="2" t="s">
        <v>59</v>
      </c>
      <c r="D509" s="2" t="s">
        <v>18</v>
      </c>
      <c r="E509" s="5">
        <v>-29397</v>
      </c>
      <c r="F509" s="3" t="s">
        <v>599</v>
      </c>
      <c r="G509" s="3" t="s">
        <v>296</v>
      </c>
      <c r="H509" s="2" t="s">
        <v>65</v>
      </c>
      <c r="I509" s="2" t="s">
        <v>1471</v>
      </c>
      <c r="J509" s="3" t="str">
        <f>HYPERLINK("https://www.boe.es/gazeta/dias/1819/07/06/pdfs/GMD-1819-81.pdf#page=4","Abrir facsímil")</f>
        <v>Abrir facsímil</v>
      </c>
      <c r="K509" s="3" t="s">
        <v>67</v>
      </c>
    </row>
    <row r="510" spans="1:11" ht="42" customHeight="1">
      <c r="A510" s="2" t="s">
        <v>1472</v>
      </c>
      <c r="B510" s="2" t="s">
        <v>1473</v>
      </c>
      <c r="C510" s="2" t="s">
        <v>63</v>
      </c>
      <c r="D510" s="2" t="s">
        <v>43</v>
      </c>
      <c r="E510" s="5">
        <v>-29281</v>
      </c>
      <c r="F510" s="3" t="s">
        <v>19</v>
      </c>
      <c r="G510" s="3" t="s">
        <v>28</v>
      </c>
      <c r="H510" s="2" t="s">
        <v>65</v>
      </c>
      <c r="I510" s="2" t="s">
        <v>1474</v>
      </c>
      <c r="J510" s="3" t="str">
        <f>HYPERLINK("https://www.boe.es/gazeta/dias/1819/10/30/pdfs/GMD-1819-134.pdf#page=8","Abrir facsímil")</f>
        <v>Abrir facsímil</v>
      </c>
      <c r="K510" s="3" t="s">
        <v>67</v>
      </c>
    </row>
    <row r="511" spans="1:11" ht="42" customHeight="1">
      <c r="A511" s="2" t="s">
        <v>1475</v>
      </c>
      <c r="B511" s="2" t="s">
        <v>1476</v>
      </c>
      <c r="C511" s="2" t="s">
        <v>136</v>
      </c>
      <c r="D511" s="2" t="s">
        <v>18</v>
      </c>
      <c r="E511" s="5">
        <v>-29260</v>
      </c>
      <c r="F511" s="3" t="s">
        <v>93</v>
      </c>
      <c r="G511" s="3" t="s">
        <v>1275</v>
      </c>
      <c r="H511" s="2" t="s">
        <v>65</v>
      </c>
      <c r="I511" s="2" t="s">
        <v>1477</v>
      </c>
      <c r="J511" s="3" t="str">
        <f>HYPERLINK("https://www.boe.es/gazeta/dias/1819/11/20/pdfs/GMD-1819-143.pdf#page=10","Abrir facsímil")</f>
        <v>Abrir facsímil</v>
      </c>
      <c r="K511" s="3" t="s">
        <v>67</v>
      </c>
    </row>
    <row r="512" spans="1:11" ht="42" customHeight="1">
      <c r="A512" s="2" t="s">
        <v>1478</v>
      </c>
      <c r="B512" s="2" t="s">
        <v>1479</v>
      </c>
      <c r="C512" s="2" t="s">
        <v>59</v>
      </c>
      <c r="D512" s="2" t="s">
        <v>18</v>
      </c>
      <c r="E512" s="5">
        <v>-29425</v>
      </c>
      <c r="F512" s="3" t="s">
        <v>110</v>
      </c>
      <c r="G512" s="3" t="s">
        <v>55</v>
      </c>
      <c r="H512" s="2" t="s">
        <v>65</v>
      </c>
      <c r="I512" s="2" t="s">
        <v>1480</v>
      </c>
      <c r="J512" s="3" t="str">
        <f>HYPERLINK("https://www.boe.es/gazeta/dias/1819/06/08/pdfs/GMD-1819-68.pdf#page=7","Abrir facsímil")</f>
        <v>Abrir facsímil</v>
      </c>
      <c r="K512" s="3" t="s">
        <v>67</v>
      </c>
    </row>
    <row r="513" spans="1:11" ht="42" customHeight="1">
      <c r="A513" s="2" t="s">
        <v>1481</v>
      </c>
      <c r="B513" s="2" t="s">
        <v>1481</v>
      </c>
      <c r="C513" s="2" t="s">
        <v>80</v>
      </c>
      <c r="D513" s="2" t="s">
        <v>81</v>
      </c>
      <c r="E513" s="5">
        <v>-29227</v>
      </c>
      <c r="F513" s="3" t="s">
        <v>98</v>
      </c>
      <c r="G513" s="3" t="s">
        <v>102</v>
      </c>
      <c r="H513" s="2" t="s">
        <v>65</v>
      </c>
      <c r="I513" s="2" t="s">
        <v>1482</v>
      </c>
      <c r="J513" s="3" t="str">
        <f>HYPERLINK("https://www.boe.es/gazeta/dias/1819/12/23/pdfs/GMD-1819-157.pdf#page=3","Abrir facsímil")</f>
        <v>Abrir facsímil</v>
      </c>
      <c r="K513" s="3" t="s">
        <v>67</v>
      </c>
    </row>
    <row r="514" spans="1:11" ht="42" customHeight="1">
      <c r="A514" s="2" t="s">
        <v>1483</v>
      </c>
      <c r="B514" s="2" t="s">
        <v>1483</v>
      </c>
      <c r="C514" s="2" t="s">
        <v>59</v>
      </c>
      <c r="D514" s="2" t="s">
        <v>18</v>
      </c>
      <c r="E514" s="5">
        <v>-29526</v>
      </c>
      <c r="F514" s="3" t="s">
        <v>307</v>
      </c>
      <c r="G514" s="3" t="s">
        <v>28</v>
      </c>
      <c r="H514" s="2" t="s">
        <v>65</v>
      </c>
      <c r="I514" s="2" t="s">
        <v>1484</v>
      </c>
      <c r="J514" s="3" t="str">
        <f>HYPERLINK("https://www.boe.es/gazeta/dias/1819/02/27/pdfs/GMD-1819-25.pdf#page=8","Abrir facsímil")</f>
        <v>Abrir facsímil</v>
      </c>
      <c r="K514" s="3" t="s">
        <v>67</v>
      </c>
    </row>
    <row r="515" spans="1:11" ht="42" customHeight="1">
      <c r="A515" s="2" t="s">
        <v>1485</v>
      </c>
      <c r="B515" s="2" t="s">
        <v>1486</v>
      </c>
      <c r="C515" s="2" t="s">
        <v>59</v>
      </c>
      <c r="D515" s="2" t="s">
        <v>18</v>
      </c>
      <c r="E515" s="5">
        <v>-29530</v>
      </c>
      <c r="F515" s="3" t="s">
        <v>202</v>
      </c>
      <c r="G515" s="3" t="s">
        <v>1487</v>
      </c>
      <c r="H515" s="2" t="s">
        <v>65</v>
      </c>
      <c r="I515" s="2" t="s">
        <v>1488</v>
      </c>
      <c r="J515" s="3" t="str">
        <f>HYPERLINK("https://www.boe.es/gazeta/dias/1819/02/23/pdfs/GMD-1819-23.pdf#page=11","Abrir facsímil")</f>
        <v>Abrir facsímil</v>
      </c>
      <c r="K515" s="3" t="s">
        <v>67</v>
      </c>
    </row>
    <row r="516" spans="1:11" ht="42" customHeight="1">
      <c r="A516" s="2" t="s">
        <v>1489</v>
      </c>
      <c r="B516" s="2" t="s">
        <v>1490</v>
      </c>
      <c r="C516" s="2" t="s">
        <v>59</v>
      </c>
      <c r="D516" s="2" t="s">
        <v>454</v>
      </c>
      <c r="E516" s="5">
        <v>-29419</v>
      </c>
      <c r="F516" s="3" t="s">
        <v>1491</v>
      </c>
      <c r="G516" s="3" t="s">
        <v>102</v>
      </c>
      <c r="H516" s="2" t="s">
        <v>65</v>
      </c>
      <c r="I516" s="2" t="s">
        <v>1492</v>
      </c>
      <c r="J516" s="3" t="str">
        <f>HYPERLINK("https://www.boe.es/gazeta/dias/1819/06/14/pdfs/GMD-1819-71E.pdf#page=3","Abrir facsímil")</f>
        <v>Abrir facsímil</v>
      </c>
      <c r="K516" s="3" t="s">
        <v>67</v>
      </c>
    </row>
    <row r="517" spans="1:11" ht="42" customHeight="1">
      <c r="A517" s="2" t="s">
        <v>1493</v>
      </c>
      <c r="B517" s="2" t="s">
        <v>1494</v>
      </c>
      <c r="C517" s="2" t="s">
        <v>59</v>
      </c>
      <c r="D517" s="2" t="s">
        <v>454</v>
      </c>
      <c r="E517" s="5">
        <v>-29419</v>
      </c>
      <c r="F517" s="3" t="s">
        <v>1491</v>
      </c>
      <c r="G517" s="3" t="s">
        <v>259</v>
      </c>
      <c r="H517" s="2" t="s">
        <v>65</v>
      </c>
      <c r="I517" s="2" t="s">
        <v>1495</v>
      </c>
      <c r="J517" s="3" t="str">
        <f>HYPERLINK("https://www.boe.es/gazeta/dias/1819/06/14/pdfs/GMD-1819-71E.pdf#page=2","Abrir facsímil")</f>
        <v>Abrir facsímil</v>
      </c>
      <c r="K517" s="3" t="s">
        <v>67</v>
      </c>
    </row>
    <row r="518" spans="1:11" ht="42" customHeight="1">
      <c r="A518" s="2" t="s">
        <v>1496</v>
      </c>
      <c r="B518" s="2" t="s">
        <v>1497</v>
      </c>
      <c r="C518" s="2" t="s">
        <v>26</v>
      </c>
      <c r="D518" s="2" t="s">
        <v>18</v>
      </c>
      <c r="E518" s="5">
        <v>-29390</v>
      </c>
      <c r="F518" s="3" t="s">
        <v>263</v>
      </c>
      <c r="G518" s="3" t="s">
        <v>1498</v>
      </c>
      <c r="H518" s="2" t="s">
        <v>65</v>
      </c>
      <c r="I518" s="2" t="s">
        <v>1499</v>
      </c>
      <c r="J518" s="3" t="str">
        <f>HYPERLINK("https://www.boe.es/gazeta/dias/1819/07/13/pdfs/GMD-1819-84.pdf#page=12","Abrir facsímil")</f>
        <v>Abrir facsímil</v>
      </c>
      <c r="K518" s="3" t="s">
        <v>67</v>
      </c>
    </row>
    <row r="519" spans="1:11" ht="42" customHeight="1">
      <c r="A519" s="2" t="s">
        <v>1500</v>
      </c>
      <c r="B519" s="2" t="s">
        <v>1501</v>
      </c>
      <c r="C519" s="2" t="s">
        <v>59</v>
      </c>
      <c r="D519" s="2" t="s">
        <v>18</v>
      </c>
      <c r="E519" s="5">
        <v>-29535</v>
      </c>
      <c r="F519" s="3" t="s">
        <v>200</v>
      </c>
      <c r="G519" s="3" t="s">
        <v>33</v>
      </c>
      <c r="H519" s="2" t="s">
        <v>65</v>
      </c>
      <c r="I519" s="2" t="s">
        <v>1502</v>
      </c>
      <c r="J519" s="3" t="str">
        <f>HYPERLINK("https://www.boe.es/gazeta/dias/1819/02/18/pdfs/GMD-1819-21.pdf#page=6","Abrir facsímil")</f>
        <v>Abrir facsímil</v>
      </c>
      <c r="K519" s="3" t="s">
        <v>67</v>
      </c>
    </row>
    <row r="520" spans="1:11" ht="42" customHeight="1">
      <c r="A520" s="2" t="s">
        <v>1500</v>
      </c>
      <c r="B520" s="2" t="s">
        <v>1501</v>
      </c>
      <c r="C520" s="2" t="s">
        <v>63</v>
      </c>
      <c r="D520" s="2" t="s">
        <v>43</v>
      </c>
      <c r="E520" s="5">
        <v>-29535</v>
      </c>
      <c r="F520" s="3" t="s">
        <v>200</v>
      </c>
      <c r="G520" s="3" t="s">
        <v>55</v>
      </c>
      <c r="H520" s="2" t="s">
        <v>65</v>
      </c>
      <c r="I520" s="2" t="s">
        <v>1503</v>
      </c>
      <c r="J520" s="3" t="str">
        <f>HYPERLINK("https://www.boe.es/gazeta/dias/1819/02/18/pdfs/GMD-1819-21.pdf#page=7","Abrir facsímil")</f>
        <v>Abrir facsímil</v>
      </c>
      <c r="K520" s="3" t="s">
        <v>67</v>
      </c>
    </row>
    <row r="521" spans="1:11" ht="42" customHeight="1">
      <c r="A521" s="2" t="s">
        <v>1500</v>
      </c>
      <c r="B521" s="2" t="s">
        <v>1501</v>
      </c>
      <c r="C521" s="2" t="s">
        <v>17</v>
      </c>
      <c r="D521" s="2" t="s">
        <v>18</v>
      </c>
      <c r="E521" s="5">
        <v>-29481</v>
      </c>
      <c r="F521" s="3" t="s">
        <v>1504</v>
      </c>
      <c r="G521" s="3" t="s">
        <v>28</v>
      </c>
      <c r="H521" s="2" t="s">
        <v>65</v>
      </c>
      <c r="I521" s="2" t="s">
        <v>1505</v>
      </c>
      <c r="J521" s="3" t="str">
        <f>HYPERLINK("https://www.boe.es/gazeta/dias/1819/04/13/pdfs/GMD-1819-44.pdf#page=8","Abrir facsímil")</f>
        <v>Abrir facsímil</v>
      </c>
      <c r="K521" s="3" t="s">
        <v>67</v>
      </c>
    </row>
    <row r="522" spans="1:11" ht="42" customHeight="1">
      <c r="A522" s="2" t="s">
        <v>1500</v>
      </c>
      <c r="B522" s="2" t="s">
        <v>1501</v>
      </c>
      <c r="C522" s="2" t="s">
        <v>80</v>
      </c>
      <c r="D522" s="2" t="s">
        <v>81</v>
      </c>
      <c r="E522" s="5">
        <v>-29477</v>
      </c>
      <c r="F522" s="3" t="s">
        <v>789</v>
      </c>
      <c r="G522" s="3" t="s">
        <v>55</v>
      </c>
      <c r="H522" s="2" t="s">
        <v>65</v>
      </c>
      <c r="I522" s="2" t="s">
        <v>1506</v>
      </c>
      <c r="J522" s="3" t="str">
        <f>HYPERLINK("https://www.boe.es/gazeta/dias/1819/04/17/pdfs/GMD-1819-46.pdf#page=7","Abrir facsímil")</f>
        <v>Abrir facsímil</v>
      </c>
      <c r="K522" s="3" t="s">
        <v>67</v>
      </c>
    </row>
    <row r="523" spans="1:11" ht="42" customHeight="1">
      <c r="A523" s="2" t="s">
        <v>1500</v>
      </c>
      <c r="B523" s="2" t="s">
        <v>1501</v>
      </c>
      <c r="C523" s="2" t="s">
        <v>26</v>
      </c>
      <c r="D523" s="2" t="s">
        <v>18</v>
      </c>
      <c r="E523" s="5">
        <v>-29220</v>
      </c>
      <c r="F523" s="3" t="s">
        <v>397</v>
      </c>
      <c r="G523" s="3" t="s">
        <v>28</v>
      </c>
      <c r="H523" s="2" t="s">
        <v>65</v>
      </c>
      <c r="I523" s="2" t="s">
        <v>1507</v>
      </c>
      <c r="J523" s="3" t="str">
        <f>HYPERLINK("https://www.boe.es/gazeta/dias/1819/12/30/pdfs/GMD-1819-160.pdf#page=8","Abrir facsímil")</f>
        <v>Abrir facsímil</v>
      </c>
      <c r="K523" s="3" t="s">
        <v>67</v>
      </c>
    </row>
    <row r="524" spans="1:11" ht="42" customHeight="1">
      <c r="A524" s="2" t="s">
        <v>1508</v>
      </c>
      <c r="B524" s="2" t="s">
        <v>1509</v>
      </c>
      <c r="C524" s="2" t="s">
        <v>80</v>
      </c>
      <c r="D524" s="2" t="s">
        <v>81</v>
      </c>
      <c r="E524" s="5">
        <v>-29547</v>
      </c>
      <c r="F524" s="3" t="s">
        <v>238</v>
      </c>
      <c r="G524" s="3" t="s">
        <v>239</v>
      </c>
      <c r="H524" s="2" t="s">
        <v>65</v>
      </c>
      <c r="I524" s="2" t="s">
        <v>1510</v>
      </c>
      <c r="J524" s="3" t="str">
        <f>HYPERLINK("https://www.boe.es/gazeta/dias/1819/02/06/pdfs/GMD-1819-16.pdf#page=1","Abrir facsímil")</f>
        <v>Abrir facsímil</v>
      </c>
      <c r="K524" s="3" t="s">
        <v>67</v>
      </c>
    </row>
    <row r="525" spans="1:11" ht="42" customHeight="1">
      <c r="A525" s="2" t="s">
        <v>1508</v>
      </c>
      <c r="B525" s="2" t="s">
        <v>1509</v>
      </c>
      <c r="C525" s="2" t="s">
        <v>80</v>
      </c>
      <c r="D525" s="2" t="s">
        <v>81</v>
      </c>
      <c r="E525" s="5">
        <v>-29533</v>
      </c>
      <c r="F525" s="3" t="s">
        <v>280</v>
      </c>
      <c r="G525" s="3" t="s">
        <v>38</v>
      </c>
      <c r="H525" s="2" t="s">
        <v>65</v>
      </c>
      <c r="I525" s="2" t="s">
        <v>1511</v>
      </c>
      <c r="J525" s="3" t="str">
        <f>HYPERLINK("https://www.boe.es/gazeta/dias/1819/02/20/pdfs/GMD-1819-22.pdf#page=5","Abrir facsímil")</f>
        <v>Abrir facsímil</v>
      </c>
      <c r="K525" s="3" t="s">
        <v>67</v>
      </c>
    </row>
    <row r="526" spans="1:11" ht="42" customHeight="1">
      <c r="A526" s="2" t="s">
        <v>1512</v>
      </c>
      <c r="B526" s="2" t="s">
        <v>1512</v>
      </c>
      <c r="C526" s="2" t="s">
        <v>80</v>
      </c>
      <c r="D526" s="2" t="s">
        <v>81</v>
      </c>
      <c r="E526" s="5">
        <v>-29267</v>
      </c>
      <c r="F526" s="3" t="s">
        <v>370</v>
      </c>
      <c r="G526" s="3" t="s">
        <v>296</v>
      </c>
      <c r="H526" s="2" t="s">
        <v>65</v>
      </c>
      <c r="I526" s="2" t="s">
        <v>1513</v>
      </c>
      <c r="J526" s="3" t="str">
        <f>HYPERLINK("https://www.boe.es/gazeta/dias/1819/11/13/pdfs/GMD-1819-140.pdf#page=4","Abrir facsímil")</f>
        <v>Abrir facsímil</v>
      </c>
      <c r="K526" s="3" t="s">
        <v>67</v>
      </c>
    </row>
    <row r="527" spans="1:11" ht="42" customHeight="1">
      <c r="A527" s="2" t="s">
        <v>1514</v>
      </c>
      <c r="B527" s="2" t="s">
        <v>1515</v>
      </c>
      <c r="C527" s="2" t="s">
        <v>80</v>
      </c>
      <c r="D527" s="2" t="s">
        <v>81</v>
      </c>
      <c r="E527" s="5">
        <v>-29582</v>
      </c>
      <c r="F527" s="3" t="s">
        <v>376</v>
      </c>
      <c r="G527" s="3" t="s">
        <v>28</v>
      </c>
      <c r="H527" s="2" t="s">
        <v>65</v>
      </c>
      <c r="I527" s="2" t="s">
        <v>1516</v>
      </c>
      <c r="J527" s="3" t="str">
        <f>HYPERLINK("https://www.boe.es/gazeta/dias/1819/01/02/pdfs/GMD-1819-1.pdf#page=8","Abrir facsímil")</f>
        <v>Abrir facsímil</v>
      </c>
      <c r="K527" s="3" t="s">
        <v>67</v>
      </c>
    </row>
    <row r="528" spans="1:11" ht="42" customHeight="1">
      <c r="A528" s="2" t="s">
        <v>1517</v>
      </c>
      <c r="B528" s="2" t="s">
        <v>1518</v>
      </c>
      <c r="C528" s="2" t="s">
        <v>59</v>
      </c>
      <c r="D528" s="2" t="s">
        <v>18</v>
      </c>
      <c r="E528" s="5">
        <v>-29451</v>
      </c>
      <c r="F528" s="3" t="s">
        <v>208</v>
      </c>
      <c r="G528" s="3" t="s">
        <v>55</v>
      </c>
      <c r="H528" s="2" t="s">
        <v>65</v>
      </c>
      <c r="I528" s="2" t="s">
        <v>1519</v>
      </c>
      <c r="J528" s="3" t="str">
        <f>HYPERLINK("https://www.boe.es/gazeta/dias/1819/05/13/pdfs/GMD-1819-57.pdf#page=7","Abrir facsímil")</f>
        <v>Abrir facsímil</v>
      </c>
      <c r="K528" s="3" t="s">
        <v>67</v>
      </c>
    </row>
    <row r="529" spans="1:11" ht="42" customHeight="1">
      <c r="A529" s="2" t="s">
        <v>1520</v>
      </c>
      <c r="B529" s="2" t="s">
        <v>1521</v>
      </c>
      <c r="C529" s="2" t="s">
        <v>26</v>
      </c>
      <c r="D529" s="2" t="s">
        <v>18</v>
      </c>
      <c r="E529" s="5">
        <v>-29493</v>
      </c>
      <c r="F529" s="3" t="s">
        <v>404</v>
      </c>
      <c r="G529" s="3" t="s">
        <v>28</v>
      </c>
      <c r="H529" s="2" t="s">
        <v>65</v>
      </c>
      <c r="I529" s="2" t="s">
        <v>1522</v>
      </c>
      <c r="J529" s="3" t="str">
        <f>HYPERLINK("https://www.boe.es/gazeta/dias/1819/04/01/pdfs/GMD-1819-39.pdf#page=8","Abrir facsímil")</f>
        <v>Abrir facsímil</v>
      </c>
      <c r="K529" s="3" t="s">
        <v>67</v>
      </c>
    </row>
    <row r="530" spans="1:11" ht="42" customHeight="1">
      <c r="A530" s="2" t="s">
        <v>1523</v>
      </c>
      <c r="B530" s="2" t="s">
        <v>1523</v>
      </c>
      <c r="C530" s="2" t="s">
        <v>80</v>
      </c>
      <c r="D530" s="2" t="s">
        <v>81</v>
      </c>
      <c r="E530" s="5">
        <v>-29582</v>
      </c>
      <c r="F530" s="3" t="s">
        <v>376</v>
      </c>
      <c r="G530" s="3" t="s">
        <v>28</v>
      </c>
      <c r="H530" s="2" t="s">
        <v>65</v>
      </c>
      <c r="I530" s="2" t="s">
        <v>1524</v>
      </c>
      <c r="J530" s="3" t="str">
        <f>HYPERLINK("https://www.boe.es/gazeta/dias/1819/01/02/pdfs/GMD-1819-1.pdf#page=8","Abrir facsímil")</f>
        <v>Abrir facsímil</v>
      </c>
      <c r="K530" s="3" t="s">
        <v>67</v>
      </c>
    </row>
    <row r="531" spans="1:11" ht="42" customHeight="1">
      <c r="A531" s="2" t="s">
        <v>1525</v>
      </c>
      <c r="B531" s="2" t="s">
        <v>1526</v>
      </c>
      <c r="C531" s="2" t="s">
        <v>63</v>
      </c>
      <c r="D531" s="2" t="s">
        <v>43</v>
      </c>
      <c r="E531" s="5">
        <v>-29253</v>
      </c>
      <c r="F531" s="3" t="s">
        <v>242</v>
      </c>
      <c r="G531" s="3" t="s">
        <v>33</v>
      </c>
      <c r="H531" s="2" t="s">
        <v>65</v>
      </c>
      <c r="I531" s="2" t="s">
        <v>1527</v>
      </c>
      <c r="J531" s="3" t="str">
        <f>HYPERLINK("https://www.boe.es/gazeta/dias/1819/11/27/pdfs/GMD-1819-146.pdf#page=6","Abrir facsímil")</f>
        <v>Abrir facsímil</v>
      </c>
      <c r="K531" s="3" t="s">
        <v>67</v>
      </c>
    </row>
    <row r="532" spans="1:11" ht="42" customHeight="1">
      <c r="A532" s="2" t="s">
        <v>1528</v>
      </c>
      <c r="B532" s="2" t="s">
        <v>1529</v>
      </c>
      <c r="C532" s="2" t="s">
        <v>136</v>
      </c>
      <c r="D532" s="2" t="s">
        <v>18</v>
      </c>
      <c r="E532" s="5">
        <v>-29388</v>
      </c>
      <c r="F532" s="3" t="s">
        <v>879</v>
      </c>
      <c r="G532" s="3" t="s">
        <v>28</v>
      </c>
      <c r="H532" s="2" t="s">
        <v>65</v>
      </c>
      <c r="I532" s="2" t="s">
        <v>1530</v>
      </c>
      <c r="J532" s="3" t="str">
        <f>HYPERLINK("https://www.boe.es/gazeta/dias/1819/07/15/pdfs/GMD-1819-85.pdf#page=8","Abrir facsímil")</f>
        <v>Abrir facsímil</v>
      </c>
      <c r="K532" s="3" t="s">
        <v>67</v>
      </c>
    </row>
    <row r="533" spans="1:11" ht="42" customHeight="1">
      <c r="A533" s="2" t="s">
        <v>1531</v>
      </c>
      <c r="B533" s="2" t="s">
        <v>1531</v>
      </c>
      <c r="C533" s="2" t="s">
        <v>80</v>
      </c>
      <c r="D533" s="2" t="s">
        <v>81</v>
      </c>
      <c r="E533" s="5">
        <v>-29425</v>
      </c>
      <c r="F533" s="3" t="s">
        <v>110</v>
      </c>
      <c r="G533" s="3" t="s">
        <v>33</v>
      </c>
      <c r="H533" s="2" t="s">
        <v>65</v>
      </c>
      <c r="I533" s="2" t="s">
        <v>1532</v>
      </c>
      <c r="J533" s="3" t="str">
        <f>HYPERLINK("https://www.boe.es/gazeta/dias/1819/06/08/pdfs/GMD-1819-68.pdf#page=6","Abrir facsímil")</f>
        <v>Abrir facsímil</v>
      </c>
      <c r="K533" s="3" t="s">
        <v>67</v>
      </c>
    </row>
    <row r="534" spans="1:11" ht="42" customHeight="1">
      <c r="A534" s="2" t="s">
        <v>1533</v>
      </c>
      <c r="B534" s="2" t="s">
        <v>1533</v>
      </c>
      <c r="C534" s="2" t="s">
        <v>63</v>
      </c>
      <c r="D534" s="2" t="s">
        <v>43</v>
      </c>
      <c r="E534" s="5">
        <v>-29460</v>
      </c>
      <c r="F534" s="3" t="s">
        <v>1534</v>
      </c>
      <c r="G534" s="3" t="s">
        <v>296</v>
      </c>
      <c r="H534" s="2" t="s">
        <v>65</v>
      </c>
      <c r="I534" s="2" t="s">
        <v>1535</v>
      </c>
      <c r="J534" s="3" t="str">
        <f>HYPERLINK("https://www.boe.es/gazeta/dias/1819/05/04/pdfs/GMD-1819-53.pdf#page=4","Abrir facsímil")</f>
        <v>Abrir facsímil</v>
      </c>
      <c r="K534" s="3" t="s">
        <v>67</v>
      </c>
    </row>
    <row r="535" spans="1:11" ht="42" customHeight="1">
      <c r="A535" s="2" t="s">
        <v>1536</v>
      </c>
      <c r="B535" s="2" t="s">
        <v>1537</v>
      </c>
      <c r="C535" s="2" t="s">
        <v>80</v>
      </c>
      <c r="D535" s="2" t="s">
        <v>81</v>
      </c>
      <c r="E535" s="5">
        <v>-29500</v>
      </c>
      <c r="F535" s="3" t="s">
        <v>212</v>
      </c>
      <c r="G535" s="3" t="s">
        <v>33</v>
      </c>
      <c r="H535" s="2" t="s">
        <v>65</v>
      </c>
      <c r="I535" s="2" t="s">
        <v>1538</v>
      </c>
      <c r="J535" s="3" t="str">
        <f>HYPERLINK("https://www.boe.es/gazeta/dias/1819/03/25/pdfs/GMD-1819-36.pdf#page=6","Abrir facsímil")</f>
        <v>Abrir facsímil</v>
      </c>
      <c r="K535" s="3" t="s">
        <v>67</v>
      </c>
    </row>
    <row r="536" spans="1:11" ht="42" customHeight="1">
      <c r="A536" s="2" t="s">
        <v>1539</v>
      </c>
      <c r="B536" s="2" t="s">
        <v>1540</v>
      </c>
      <c r="C536" s="2" t="s">
        <v>80</v>
      </c>
      <c r="D536" s="2" t="s">
        <v>81</v>
      </c>
      <c r="E536" s="5">
        <v>-29453</v>
      </c>
      <c r="F536" s="3" t="s">
        <v>768</v>
      </c>
      <c r="G536" s="3" t="s">
        <v>28</v>
      </c>
      <c r="H536" s="2" t="s">
        <v>65</v>
      </c>
      <c r="I536" s="2" t="s">
        <v>1541</v>
      </c>
      <c r="J536" s="3" t="str">
        <f>HYPERLINK("https://www.boe.es/gazeta/dias/1819/05/11/pdfs/GMD-1819-56.pdf#page=8","Abrir facsímil")</f>
        <v>Abrir facsímil</v>
      </c>
      <c r="K536" s="3" t="s">
        <v>67</v>
      </c>
    </row>
    <row r="537" spans="1:11" ht="42" customHeight="1">
      <c r="A537" s="2" t="s">
        <v>1542</v>
      </c>
      <c r="B537" s="2" t="s">
        <v>1543</v>
      </c>
      <c r="C537" s="2" t="s">
        <v>63</v>
      </c>
      <c r="D537" s="2" t="s">
        <v>43</v>
      </c>
      <c r="E537" s="5">
        <v>-29297</v>
      </c>
      <c r="F537" s="3" t="s">
        <v>82</v>
      </c>
      <c r="G537" s="3" t="s">
        <v>33</v>
      </c>
      <c r="H537" s="2" t="s">
        <v>65</v>
      </c>
      <c r="I537" s="2" t="s">
        <v>1544</v>
      </c>
      <c r="J537" s="3" t="str">
        <f>HYPERLINK("https://www.boe.es/gazeta/dias/1819/10/14/pdfs/GMD-1819-126.pdf#page=6","Abrir facsímil")</f>
        <v>Abrir facsímil</v>
      </c>
      <c r="K537" s="3" t="s">
        <v>67</v>
      </c>
    </row>
    <row r="538" spans="1:11" ht="42" customHeight="1">
      <c r="A538" s="2" t="s">
        <v>1545</v>
      </c>
      <c r="B538" s="2" t="s">
        <v>1546</v>
      </c>
      <c r="C538" s="2" t="s">
        <v>63</v>
      </c>
      <c r="D538" s="2" t="s">
        <v>43</v>
      </c>
      <c r="E538" s="5">
        <v>-29535</v>
      </c>
      <c r="F538" s="3" t="s">
        <v>200</v>
      </c>
      <c r="G538" s="3" t="s">
        <v>55</v>
      </c>
      <c r="H538" s="2" t="s">
        <v>65</v>
      </c>
      <c r="I538" s="2" t="s">
        <v>1547</v>
      </c>
      <c r="J538" s="3" t="str">
        <f>HYPERLINK("https://www.boe.es/gazeta/dias/1819/02/18/pdfs/GMD-1819-21.pdf#page=7","Abrir facsímil")</f>
        <v>Abrir facsímil</v>
      </c>
      <c r="K538" s="3" t="s">
        <v>67</v>
      </c>
    </row>
    <row r="539" spans="1:11" ht="42" customHeight="1">
      <c r="A539" s="2" t="s">
        <v>1545</v>
      </c>
      <c r="B539" s="2" t="s">
        <v>1546</v>
      </c>
      <c r="C539" s="2" t="s">
        <v>136</v>
      </c>
      <c r="D539" s="2" t="s">
        <v>18</v>
      </c>
      <c r="E539" s="5">
        <v>-29521</v>
      </c>
      <c r="F539" s="3" t="s">
        <v>1002</v>
      </c>
      <c r="G539" s="3" t="s">
        <v>28</v>
      </c>
      <c r="H539" s="2" t="s">
        <v>65</v>
      </c>
      <c r="I539" s="2" t="s">
        <v>1548</v>
      </c>
      <c r="J539" s="3" t="str">
        <f>HYPERLINK("https://www.boe.es/gazeta/dias/1819/03/04/pdfs/GMD-1819-27.pdf#page=8","Abrir facsímil")</f>
        <v>Abrir facsímil</v>
      </c>
      <c r="K539" s="3" t="s">
        <v>67</v>
      </c>
    </row>
    <row r="540" spans="1:11" ht="42" customHeight="1">
      <c r="A540" s="2" t="s">
        <v>1545</v>
      </c>
      <c r="B540" s="2" t="s">
        <v>1546</v>
      </c>
      <c r="C540" s="2" t="s">
        <v>80</v>
      </c>
      <c r="D540" s="2" t="s">
        <v>81</v>
      </c>
      <c r="E540" s="5">
        <v>-29512</v>
      </c>
      <c r="F540" s="3" t="s">
        <v>741</v>
      </c>
      <c r="G540" s="3" t="s">
        <v>55</v>
      </c>
      <c r="H540" s="2" t="s">
        <v>65</v>
      </c>
      <c r="I540" s="2" t="s">
        <v>1549</v>
      </c>
      <c r="J540" s="3" t="str">
        <f>HYPERLINK("https://www.boe.es/gazeta/dias/1819/03/13/pdfs/GMD-1819-31.pdf#page=7","Abrir facsímil")</f>
        <v>Abrir facsímil</v>
      </c>
      <c r="K540" s="3" t="s">
        <v>67</v>
      </c>
    </row>
    <row r="541" spans="1:11" ht="42" customHeight="1">
      <c r="A541" s="2" t="s">
        <v>1545</v>
      </c>
      <c r="B541" s="2" t="s">
        <v>1546</v>
      </c>
      <c r="C541" s="2" t="s">
        <v>59</v>
      </c>
      <c r="D541" s="2" t="s">
        <v>18</v>
      </c>
      <c r="E541" s="5">
        <v>-29495</v>
      </c>
      <c r="F541" s="3" t="s">
        <v>992</v>
      </c>
      <c r="G541" s="3" t="s">
        <v>28</v>
      </c>
      <c r="H541" s="2" t="s">
        <v>65</v>
      </c>
      <c r="I541" s="2" t="s">
        <v>1550</v>
      </c>
      <c r="J541" s="3" t="str">
        <f>HYPERLINK("https://www.boe.es/gazeta/dias/1819/03/30/pdfs/GMD-1819-38.pdf#page=8","Abrir facsímil")</f>
        <v>Abrir facsímil</v>
      </c>
      <c r="K541" s="3" t="s">
        <v>67</v>
      </c>
    </row>
    <row r="542" spans="1:11" ht="42" customHeight="1">
      <c r="A542" s="2" t="s">
        <v>1545</v>
      </c>
      <c r="B542" s="2" t="s">
        <v>1546</v>
      </c>
      <c r="C542" s="2" t="s">
        <v>59</v>
      </c>
      <c r="D542" s="2" t="s">
        <v>18</v>
      </c>
      <c r="E542" s="5">
        <v>-29484</v>
      </c>
      <c r="F542" s="3" t="s">
        <v>295</v>
      </c>
      <c r="G542" s="3" t="s">
        <v>296</v>
      </c>
      <c r="H542" s="2" t="s">
        <v>65</v>
      </c>
      <c r="I542" s="2" t="s">
        <v>1551</v>
      </c>
      <c r="J542" s="3" t="str">
        <f>HYPERLINK("https://www.boe.es/gazeta/dias/1819/04/10/pdfs/GMD-1819-43.pdf#page=4","Abrir facsímil")</f>
        <v>Abrir facsímil</v>
      </c>
      <c r="K542" s="3" t="s">
        <v>67</v>
      </c>
    </row>
    <row r="543" spans="1:11" ht="42" customHeight="1">
      <c r="A543" s="2" t="s">
        <v>1545</v>
      </c>
      <c r="B543" s="2" t="s">
        <v>1546</v>
      </c>
      <c r="C543" s="2" t="s">
        <v>59</v>
      </c>
      <c r="D543" s="2" t="s">
        <v>18</v>
      </c>
      <c r="E543" s="5">
        <v>-29474</v>
      </c>
      <c r="F543" s="3" t="s">
        <v>216</v>
      </c>
      <c r="G543" s="3" t="s">
        <v>33</v>
      </c>
      <c r="H543" s="2" t="s">
        <v>65</v>
      </c>
      <c r="I543" s="2" t="s">
        <v>1552</v>
      </c>
      <c r="J543" s="3" t="str">
        <f>HYPERLINK("https://www.boe.es/gazeta/dias/1819/04/20/pdfs/GMD-1819-47.pdf#page=6","Abrir facsímil")</f>
        <v>Abrir facsímil</v>
      </c>
      <c r="K543" s="3" t="s">
        <v>67</v>
      </c>
    </row>
    <row r="544" spans="1:11" ht="42" customHeight="1">
      <c r="A544" s="2" t="s">
        <v>1545</v>
      </c>
      <c r="B544" s="2" t="s">
        <v>1546</v>
      </c>
      <c r="C544" s="2" t="s">
        <v>246</v>
      </c>
      <c r="D544" s="2" t="s">
        <v>18</v>
      </c>
      <c r="E544" s="5">
        <v>-29458</v>
      </c>
      <c r="F544" s="3" t="s">
        <v>766</v>
      </c>
      <c r="G544" s="3" t="s">
        <v>38</v>
      </c>
      <c r="H544" s="2" t="s">
        <v>65</v>
      </c>
      <c r="I544" s="2" t="s">
        <v>1553</v>
      </c>
      <c r="J544" s="3" t="str">
        <f>HYPERLINK("https://www.boe.es/gazeta/dias/1819/05/06/pdfs/GMD-1819-54.pdf#page=5","Abrir facsímil")</f>
        <v>Abrir facsímil</v>
      </c>
      <c r="K544" s="3" t="s">
        <v>67</v>
      </c>
    </row>
    <row r="545" spans="1:11" ht="42" customHeight="1">
      <c r="A545" s="2" t="s">
        <v>1545</v>
      </c>
      <c r="B545" s="2" t="s">
        <v>1546</v>
      </c>
      <c r="C545" s="2" t="s">
        <v>136</v>
      </c>
      <c r="D545" s="2" t="s">
        <v>18</v>
      </c>
      <c r="E545" s="5">
        <v>-29362</v>
      </c>
      <c r="F545" s="3" t="s">
        <v>803</v>
      </c>
      <c r="G545" s="3" t="s">
        <v>33</v>
      </c>
      <c r="H545" s="2" t="s">
        <v>65</v>
      </c>
      <c r="I545" s="2" t="s">
        <v>1554</v>
      </c>
      <c r="J545" s="3" t="str">
        <f>HYPERLINK("https://www.boe.es/gazeta/dias/1819/08/10/pdfs/GMD-1819-96.pdf#page=6","Abrir facsímil")</f>
        <v>Abrir facsímil</v>
      </c>
      <c r="K545" s="3" t="s">
        <v>67</v>
      </c>
    </row>
    <row r="546" spans="1:11" ht="42" customHeight="1">
      <c r="A546" s="2" t="s">
        <v>1555</v>
      </c>
      <c r="B546" s="2" t="s">
        <v>1556</v>
      </c>
      <c r="C546" s="2" t="s">
        <v>136</v>
      </c>
      <c r="D546" s="2" t="s">
        <v>18</v>
      </c>
      <c r="E546" s="5">
        <v>-29549</v>
      </c>
      <c r="F546" s="3" t="s">
        <v>124</v>
      </c>
      <c r="G546" s="3" t="s">
        <v>125</v>
      </c>
      <c r="H546" s="2" t="s">
        <v>65</v>
      </c>
      <c r="I546" s="2" t="s">
        <v>1557</v>
      </c>
      <c r="J546" s="3" t="str">
        <f>HYPERLINK("https://www.boe.es/gazeta/dias/1819/02/04/pdfs/GMD-1819-15.pdf#page=7","Abrir facsímil")</f>
        <v>Abrir facsímil</v>
      </c>
      <c r="K546" s="3" t="s">
        <v>67</v>
      </c>
    </row>
    <row r="547" spans="1:11" ht="42" customHeight="1">
      <c r="A547" s="2" t="s">
        <v>1555</v>
      </c>
      <c r="B547" s="2" t="s">
        <v>1556</v>
      </c>
      <c r="C547" s="2" t="s">
        <v>80</v>
      </c>
      <c r="D547" s="2" t="s">
        <v>81</v>
      </c>
      <c r="E547" s="5">
        <v>-29526</v>
      </c>
      <c r="F547" s="3" t="s">
        <v>307</v>
      </c>
      <c r="G547" s="3" t="s">
        <v>308</v>
      </c>
      <c r="H547" s="2" t="s">
        <v>65</v>
      </c>
      <c r="I547" s="2" t="s">
        <v>1558</v>
      </c>
      <c r="J547" s="3" t="str">
        <f>HYPERLINK("https://www.boe.es/gazeta/dias/1819/02/27/pdfs/GMD-1819-25.pdf#page=6","Abrir facsímil")</f>
        <v>Abrir facsímil</v>
      </c>
      <c r="K547" s="3" t="s">
        <v>67</v>
      </c>
    </row>
    <row r="548" spans="1:11" ht="42" customHeight="1">
      <c r="A548" s="2" t="s">
        <v>1555</v>
      </c>
      <c r="B548" s="2" t="s">
        <v>1556</v>
      </c>
      <c r="C548" s="2" t="s">
        <v>136</v>
      </c>
      <c r="D548" s="2" t="s">
        <v>18</v>
      </c>
      <c r="E548" s="5">
        <v>-29514</v>
      </c>
      <c r="F548" s="3" t="s">
        <v>595</v>
      </c>
      <c r="G548" s="3" t="s">
        <v>28</v>
      </c>
      <c r="H548" s="2" t="s">
        <v>65</v>
      </c>
      <c r="I548" s="2" t="s">
        <v>1559</v>
      </c>
      <c r="J548" s="3" t="str">
        <f>HYPERLINK("https://www.boe.es/gazeta/dias/1819/03/11/pdfs/GMD-1819-30.pdf#page=8","Abrir facsímil")</f>
        <v>Abrir facsímil</v>
      </c>
      <c r="K548" s="3" t="s">
        <v>67</v>
      </c>
    </row>
    <row r="549" spans="1:11" ht="42" customHeight="1">
      <c r="A549" s="2" t="s">
        <v>1555</v>
      </c>
      <c r="B549" s="2" t="s">
        <v>1556</v>
      </c>
      <c r="C549" s="2" t="s">
        <v>80</v>
      </c>
      <c r="D549" s="2" t="s">
        <v>81</v>
      </c>
      <c r="E549" s="5">
        <v>-29481</v>
      </c>
      <c r="F549" s="3" t="s">
        <v>1504</v>
      </c>
      <c r="G549" s="3" t="s">
        <v>33</v>
      </c>
      <c r="H549" s="2" t="s">
        <v>65</v>
      </c>
      <c r="I549" s="2" t="s">
        <v>1560</v>
      </c>
      <c r="J549" s="3" t="str">
        <f>HYPERLINK("https://www.boe.es/gazeta/dias/1819/04/13/pdfs/GMD-1819-44.pdf#page=6","Abrir facsímil")</f>
        <v>Abrir facsímil</v>
      </c>
      <c r="K549" s="3" t="s">
        <v>67</v>
      </c>
    </row>
    <row r="550" spans="1:11" ht="42" customHeight="1">
      <c r="A550" s="2" t="s">
        <v>1555</v>
      </c>
      <c r="B550" s="2" t="s">
        <v>1556</v>
      </c>
      <c r="C550" s="2" t="s">
        <v>136</v>
      </c>
      <c r="D550" s="2" t="s">
        <v>18</v>
      </c>
      <c r="E550" s="5">
        <v>-29477</v>
      </c>
      <c r="F550" s="3" t="s">
        <v>789</v>
      </c>
      <c r="G550" s="3" t="s">
        <v>33</v>
      </c>
      <c r="H550" s="2" t="s">
        <v>65</v>
      </c>
      <c r="I550" s="2" t="s">
        <v>1561</v>
      </c>
      <c r="J550" s="3" t="str">
        <f>HYPERLINK("https://www.boe.es/gazeta/dias/1819/04/17/pdfs/GMD-1819-46.pdf#page=6","Abrir facsímil")</f>
        <v>Abrir facsímil</v>
      </c>
      <c r="K550" s="3" t="s">
        <v>67</v>
      </c>
    </row>
    <row r="551" spans="1:11" ht="42" customHeight="1">
      <c r="A551" s="2" t="s">
        <v>1555</v>
      </c>
      <c r="B551" s="2" t="s">
        <v>1556</v>
      </c>
      <c r="C551" s="2" t="s">
        <v>63</v>
      </c>
      <c r="D551" s="2" t="s">
        <v>43</v>
      </c>
      <c r="E551" s="5">
        <v>-29299</v>
      </c>
      <c r="F551" s="3" t="s">
        <v>798</v>
      </c>
      <c r="G551" s="3" t="s">
        <v>1562</v>
      </c>
      <c r="H551" s="2" t="s">
        <v>65</v>
      </c>
      <c r="I551" s="2" t="s">
        <v>1563</v>
      </c>
      <c r="J551" s="3" t="str">
        <f>HYPERLINK("https://www.boe.es/gazeta/dias/1819/10/12/pdfs/GMD-1819-125.pdf#page=8","Abrir facsímil")</f>
        <v>Abrir facsímil</v>
      </c>
      <c r="K551" s="3" t="s">
        <v>67</v>
      </c>
    </row>
    <row r="552" spans="1:11" ht="42" customHeight="1">
      <c r="A552" s="2" t="s">
        <v>1564</v>
      </c>
      <c r="B552" s="2" t="s">
        <v>1565</v>
      </c>
      <c r="C552" s="2" t="s">
        <v>59</v>
      </c>
      <c r="D552" s="2" t="s">
        <v>18</v>
      </c>
      <c r="E552" s="5">
        <v>-29292</v>
      </c>
      <c r="F552" s="3" t="s">
        <v>875</v>
      </c>
      <c r="G552" s="3" t="s">
        <v>28</v>
      </c>
      <c r="H552" s="2" t="s">
        <v>65</v>
      </c>
      <c r="I552" s="2" t="s">
        <v>1566</v>
      </c>
      <c r="J552" s="3" t="str">
        <f>HYPERLINK("https://www.boe.es/gazeta/dias/1819/10/19/pdfs/GMD-1819-128.pdf#page=8","Abrir facsímil")</f>
        <v>Abrir facsímil</v>
      </c>
      <c r="K552" s="3" t="s">
        <v>67</v>
      </c>
    </row>
    <row r="553" spans="1:11" ht="42" customHeight="1">
      <c r="A553" s="2" t="s">
        <v>1567</v>
      </c>
      <c r="B553" s="2" t="s">
        <v>1567</v>
      </c>
      <c r="C553" s="2" t="s">
        <v>17</v>
      </c>
      <c r="D553" s="2" t="s">
        <v>18</v>
      </c>
      <c r="E553" s="5">
        <v>-29579</v>
      </c>
      <c r="F553" s="3" t="s">
        <v>186</v>
      </c>
      <c r="G553" s="3" t="s">
        <v>753</v>
      </c>
      <c r="H553" s="2" t="s">
        <v>65</v>
      </c>
      <c r="I553" s="2" t="s">
        <v>1568</v>
      </c>
      <c r="J553" s="3" t="str">
        <f>HYPERLINK("https://www.boe.es/gazeta/dias/1819/01/05/pdfs/GMD-1819-2.pdf#page=4","Abrir facsímil")</f>
        <v>Abrir facsímil</v>
      </c>
      <c r="K553" s="3" t="s">
        <v>67</v>
      </c>
    </row>
    <row r="554" spans="1:11" ht="42" customHeight="1">
      <c r="A554" s="2" t="s">
        <v>1567</v>
      </c>
      <c r="B554" s="2" t="s">
        <v>1567</v>
      </c>
      <c r="C554" s="2" t="s">
        <v>17</v>
      </c>
      <c r="D554" s="2" t="s">
        <v>18</v>
      </c>
      <c r="E554" s="5">
        <v>-29577</v>
      </c>
      <c r="F554" s="3" t="s">
        <v>1008</v>
      </c>
      <c r="G554" s="3" t="s">
        <v>102</v>
      </c>
      <c r="H554" s="2" t="s">
        <v>65</v>
      </c>
      <c r="I554" s="2" t="s">
        <v>1569</v>
      </c>
      <c r="J554" s="3" t="str">
        <f>HYPERLINK("https://www.boe.es/gazeta/dias/1819/01/07/pdfs/GMD-1819-3.pdf#page=3","Abrir facsímil")</f>
        <v>Abrir facsímil</v>
      </c>
      <c r="K554" s="3" t="s">
        <v>67</v>
      </c>
    </row>
    <row r="555" spans="1:11" ht="42" customHeight="1">
      <c r="A555" s="2" t="s">
        <v>1570</v>
      </c>
      <c r="B555" s="2" t="s">
        <v>1571</v>
      </c>
      <c r="C555" s="2" t="s">
        <v>63</v>
      </c>
      <c r="D555" s="2" t="s">
        <v>43</v>
      </c>
      <c r="E555" s="5">
        <v>-29498</v>
      </c>
      <c r="F555" s="3" t="s">
        <v>119</v>
      </c>
      <c r="G555" s="3" t="s">
        <v>120</v>
      </c>
      <c r="H555" s="2" t="s">
        <v>65</v>
      </c>
      <c r="I555" s="2" t="s">
        <v>1572</v>
      </c>
      <c r="J555" s="3" t="str">
        <f>HYPERLINK("https://www.boe.es/gazeta/dias/1819/03/27/pdfs/GMD-1819-37.pdf#page=6","Abrir facsímil")</f>
        <v>Abrir facsímil</v>
      </c>
      <c r="K555" s="3" t="s">
        <v>67</v>
      </c>
    </row>
    <row r="556" spans="1:11" ht="42" customHeight="1">
      <c r="A556" s="2" t="s">
        <v>1573</v>
      </c>
      <c r="B556" s="2" t="s">
        <v>1574</v>
      </c>
      <c r="C556" s="2" t="s">
        <v>63</v>
      </c>
      <c r="D556" s="2" t="s">
        <v>43</v>
      </c>
      <c r="E556" s="5">
        <v>-29500</v>
      </c>
      <c r="F556" s="3" t="s">
        <v>212</v>
      </c>
      <c r="G556" s="3" t="s">
        <v>28</v>
      </c>
      <c r="H556" s="2" t="s">
        <v>65</v>
      </c>
      <c r="I556" s="2" t="s">
        <v>1575</v>
      </c>
      <c r="J556" s="3" t="str">
        <f>HYPERLINK("https://www.boe.es/gazeta/dias/1819/03/25/pdfs/GMD-1819-36.pdf#page=8","Abrir facsímil")</f>
        <v>Abrir facsímil</v>
      </c>
      <c r="K556" s="3" t="s">
        <v>67</v>
      </c>
    </row>
    <row r="557" spans="1:11" ht="42" customHeight="1">
      <c r="A557" s="2" t="s">
        <v>1576</v>
      </c>
      <c r="B557" s="2" t="s">
        <v>1577</v>
      </c>
      <c r="C557" s="2" t="s">
        <v>17</v>
      </c>
      <c r="D557" s="2" t="s">
        <v>18</v>
      </c>
      <c r="E557" s="5">
        <v>-29547</v>
      </c>
      <c r="F557" s="3" t="s">
        <v>238</v>
      </c>
      <c r="G557" s="3" t="s">
        <v>1578</v>
      </c>
      <c r="H557" s="2" t="s">
        <v>21</v>
      </c>
      <c r="I557" s="2" t="s">
        <v>1579</v>
      </c>
      <c r="J557" s="3" t="str">
        <f>HYPERLINK("https://www.boe.es/gazeta/dias/1819/02/06/pdfs/GMD-1819-16.pdf#page=8","Abrir facsímil")</f>
        <v>Abrir facsímil</v>
      </c>
      <c r="K557" s="3" t="s">
        <v>23</v>
      </c>
    </row>
    <row r="558" spans="1:11" ht="42" customHeight="1">
      <c r="A558" s="2" t="s">
        <v>1580</v>
      </c>
      <c r="B558" s="2" t="s">
        <v>1580</v>
      </c>
      <c r="C558" s="2" t="s">
        <v>80</v>
      </c>
      <c r="D558" s="2" t="s">
        <v>81</v>
      </c>
      <c r="E558" s="5">
        <v>-29500</v>
      </c>
      <c r="F558" s="3" t="s">
        <v>212</v>
      </c>
      <c r="G558" s="3" t="s">
        <v>259</v>
      </c>
      <c r="H558" s="2" t="s">
        <v>65</v>
      </c>
      <c r="I558" s="2" t="s">
        <v>1581</v>
      </c>
      <c r="J558" s="3" t="str">
        <f>HYPERLINK("https://www.boe.es/gazeta/dias/1819/03/25/pdfs/GMD-1819-36.pdf#page=2","Abrir facsímil")</f>
        <v>Abrir facsímil</v>
      </c>
      <c r="K558" s="3" t="s">
        <v>67</v>
      </c>
    </row>
    <row r="559" spans="1:11" ht="42" customHeight="1">
      <c r="A559" s="2" t="s">
        <v>1582</v>
      </c>
      <c r="B559" s="2" t="s">
        <v>1582</v>
      </c>
      <c r="C559" s="2" t="s">
        <v>136</v>
      </c>
      <c r="D559" s="2" t="s">
        <v>18</v>
      </c>
      <c r="E559" s="5">
        <v>-29572</v>
      </c>
      <c r="F559" s="3" t="s">
        <v>589</v>
      </c>
      <c r="G559" s="3" t="s">
        <v>239</v>
      </c>
      <c r="H559" s="2" t="s">
        <v>65</v>
      </c>
      <c r="I559" s="2" t="s">
        <v>1583</v>
      </c>
      <c r="J559" s="3" t="str">
        <f>HYPERLINK("https://www.boe.es/gazeta/dias/1819/01/12/pdfs/GMD-1819-5.pdf#page=1","Abrir facsímil")</f>
        <v>Abrir facsímil</v>
      </c>
      <c r="K559" s="3" t="s">
        <v>67</v>
      </c>
    </row>
    <row r="560" spans="1:11" ht="42" customHeight="1">
      <c r="A560" s="2" t="s">
        <v>1584</v>
      </c>
      <c r="B560" s="2" t="s">
        <v>1585</v>
      </c>
      <c r="C560" s="2" t="s">
        <v>80</v>
      </c>
      <c r="D560" s="2" t="s">
        <v>81</v>
      </c>
      <c r="E560" s="5">
        <v>-29276</v>
      </c>
      <c r="F560" s="3" t="s">
        <v>54</v>
      </c>
      <c r="G560" s="3" t="s">
        <v>55</v>
      </c>
      <c r="H560" s="2" t="s">
        <v>65</v>
      </c>
      <c r="I560" s="2" t="s">
        <v>1586</v>
      </c>
      <c r="J560" s="3" t="str">
        <f>HYPERLINK("https://www.boe.es/gazeta/dias/1819/11/04/pdfs/GMD-1819-136.pdf#page=7","Abrir facsímil")</f>
        <v>Abrir facsímil</v>
      </c>
      <c r="K560" s="3" t="s">
        <v>67</v>
      </c>
    </row>
    <row r="561" spans="1:11" ht="42" customHeight="1">
      <c r="A561" s="2" t="s">
        <v>1587</v>
      </c>
      <c r="B561" s="2" t="s">
        <v>1588</v>
      </c>
      <c r="C561" s="2" t="s">
        <v>63</v>
      </c>
      <c r="D561" s="2" t="s">
        <v>43</v>
      </c>
      <c r="E561" s="5">
        <v>-29281</v>
      </c>
      <c r="F561" s="3" t="s">
        <v>19</v>
      </c>
      <c r="G561" s="3" t="s">
        <v>28</v>
      </c>
      <c r="H561" s="2" t="s">
        <v>65</v>
      </c>
      <c r="I561" s="2" t="s">
        <v>1589</v>
      </c>
      <c r="J561" s="3" t="str">
        <f>HYPERLINK("https://www.boe.es/gazeta/dias/1819/10/30/pdfs/GMD-1819-134.pdf#page=8","Abrir facsímil")</f>
        <v>Abrir facsímil</v>
      </c>
      <c r="K561" s="3" t="s">
        <v>67</v>
      </c>
    </row>
    <row r="562" spans="1:11" ht="42" customHeight="1">
      <c r="A562" s="2" t="s">
        <v>1590</v>
      </c>
      <c r="B562" s="2" t="s">
        <v>1590</v>
      </c>
      <c r="C562" s="2" t="s">
        <v>63</v>
      </c>
      <c r="D562" s="2" t="s">
        <v>43</v>
      </c>
      <c r="E562" s="5">
        <v>-29388</v>
      </c>
      <c r="F562" s="3" t="s">
        <v>879</v>
      </c>
      <c r="G562" s="3" t="s">
        <v>28</v>
      </c>
      <c r="H562" s="2" t="s">
        <v>65</v>
      </c>
      <c r="I562" s="2" t="s">
        <v>1591</v>
      </c>
      <c r="J562" s="3" t="str">
        <f>HYPERLINK("https://www.boe.es/gazeta/dias/1819/07/15/pdfs/GMD-1819-85.pdf#page=8","Abrir facsímil")</f>
        <v>Abrir facsímil</v>
      </c>
      <c r="K562" s="3" t="s">
        <v>67</v>
      </c>
    </row>
    <row r="563" spans="1:11" ht="42" customHeight="1">
      <c r="A563" s="2" t="s">
        <v>1592</v>
      </c>
      <c r="B563" s="2" t="s">
        <v>1593</v>
      </c>
      <c r="C563" s="2" t="s">
        <v>136</v>
      </c>
      <c r="D563" s="2" t="s">
        <v>18</v>
      </c>
      <c r="E563" s="5">
        <v>-29449</v>
      </c>
      <c r="F563" s="3" t="s">
        <v>771</v>
      </c>
      <c r="G563" s="3" t="s">
        <v>28</v>
      </c>
      <c r="H563" s="2" t="s">
        <v>65</v>
      </c>
      <c r="I563" s="2" t="s">
        <v>1594</v>
      </c>
      <c r="J563" s="3" t="str">
        <f>HYPERLINK("https://www.boe.es/gazeta/dias/1819/05/15/pdfs/GMD-1819-58.pdf#page=8","Abrir facsímil")</f>
        <v>Abrir facsímil</v>
      </c>
      <c r="K563" s="3" t="s">
        <v>67</v>
      </c>
    </row>
    <row r="564" spans="1:11" ht="42" customHeight="1">
      <c r="A564" s="2" t="s">
        <v>1595</v>
      </c>
      <c r="B564" s="2" t="s">
        <v>1596</v>
      </c>
      <c r="C564" s="2" t="s">
        <v>136</v>
      </c>
      <c r="D564" s="2" t="s">
        <v>18</v>
      </c>
      <c r="E564" s="5">
        <v>-29535</v>
      </c>
      <c r="F564" s="3" t="s">
        <v>200</v>
      </c>
      <c r="G564" s="3" t="s">
        <v>28</v>
      </c>
      <c r="H564" s="2" t="s">
        <v>65</v>
      </c>
      <c r="I564" s="2" t="s">
        <v>1597</v>
      </c>
      <c r="J564" s="3" t="str">
        <f>HYPERLINK("https://www.boe.es/gazeta/dias/1819/02/18/pdfs/GMD-1819-21.pdf#page=8","Abrir facsímil")</f>
        <v>Abrir facsímil</v>
      </c>
      <c r="K564" s="3" t="s">
        <v>67</v>
      </c>
    </row>
    <row r="565" spans="1:11" ht="42" customHeight="1">
      <c r="A565" s="2" t="s">
        <v>1598</v>
      </c>
      <c r="B565" s="2" t="s">
        <v>1599</v>
      </c>
      <c r="C565" s="2" t="s">
        <v>63</v>
      </c>
      <c r="D565" s="2" t="s">
        <v>43</v>
      </c>
      <c r="E565" s="5">
        <v>-29220</v>
      </c>
      <c r="F565" s="3" t="s">
        <v>397</v>
      </c>
      <c r="G565" s="3" t="s">
        <v>28</v>
      </c>
      <c r="H565" s="2" t="s">
        <v>65</v>
      </c>
      <c r="I565" s="2" t="s">
        <v>1600</v>
      </c>
      <c r="J565" s="3" t="str">
        <f>HYPERLINK("https://www.boe.es/gazeta/dias/1819/12/30/pdfs/GMD-1819-160.pdf#page=8","Abrir facsímil")</f>
        <v>Abrir facsímil</v>
      </c>
      <c r="K565" s="3" t="s">
        <v>67</v>
      </c>
    </row>
    <row r="566" spans="1:11" ht="42" customHeight="1">
      <c r="A566" s="2" t="s">
        <v>1601</v>
      </c>
      <c r="B566" s="2" t="s">
        <v>1601</v>
      </c>
      <c r="C566" s="2" t="s">
        <v>63</v>
      </c>
      <c r="D566" s="2" t="s">
        <v>43</v>
      </c>
      <c r="E566" s="5">
        <v>-29411</v>
      </c>
      <c r="F566" s="3" t="s">
        <v>317</v>
      </c>
      <c r="G566" s="3" t="s">
        <v>102</v>
      </c>
      <c r="H566" s="2" t="s">
        <v>65</v>
      </c>
      <c r="I566" s="2" t="s">
        <v>1602</v>
      </c>
      <c r="J566" s="3" t="str">
        <f>HYPERLINK("https://www.boe.es/gazeta/dias/1819/06/22/pdfs/GMD-1819-75.pdf#page=3","Abrir facsímil")</f>
        <v>Abrir facsímil</v>
      </c>
      <c r="K566" s="3" t="s">
        <v>67</v>
      </c>
    </row>
    <row r="567" spans="1:11" ht="42" customHeight="1">
      <c r="A567" s="2" t="s">
        <v>1603</v>
      </c>
      <c r="B567" s="2" t="s">
        <v>1603</v>
      </c>
      <c r="C567" s="2" t="s">
        <v>63</v>
      </c>
      <c r="D567" s="2" t="s">
        <v>43</v>
      </c>
      <c r="E567" s="5">
        <v>-29491</v>
      </c>
      <c r="F567" s="3" t="s">
        <v>1604</v>
      </c>
      <c r="G567" s="3" t="s">
        <v>239</v>
      </c>
      <c r="H567" s="2" t="s">
        <v>65</v>
      </c>
      <c r="I567" s="2" t="s">
        <v>1605</v>
      </c>
      <c r="J567" s="3" t="str">
        <f>HYPERLINK("https://www.boe.es/gazeta/dias/1819/04/03/pdfs/GMD-1819-40.pdf#page=1","Abrir facsímil")</f>
        <v>Abrir facsímil</v>
      </c>
      <c r="K567" s="3" t="s">
        <v>67</v>
      </c>
    </row>
    <row r="568" spans="1:11" ht="42" customHeight="1">
      <c r="A568" s="2" t="s">
        <v>1606</v>
      </c>
      <c r="B568" s="2" t="s">
        <v>1607</v>
      </c>
      <c r="C568" s="2" t="s">
        <v>63</v>
      </c>
      <c r="D568" s="2" t="s">
        <v>43</v>
      </c>
      <c r="E568" s="5">
        <v>-29565</v>
      </c>
      <c r="F568" s="3" t="s">
        <v>293</v>
      </c>
      <c r="G568" s="3" t="s">
        <v>1608</v>
      </c>
      <c r="H568" s="2" t="s">
        <v>65</v>
      </c>
      <c r="I568" s="2" t="s">
        <v>1609</v>
      </c>
      <c r="J568" s="3" t="str">
        <f>HYPERLINK("https://www.boe.es/gazeta/dias/1819/01/19/pdfs/GMD-1819-8.pdf#page=8","Abrir facsímil")</f>
        <v>Abrir facsímil</v>
      </c>
      <c r="K568" s="3" t="s">
        <v>67</v>
      </c>
    </row>
    <row r="569" spans="1:11" ht="42" customHeight="1">
      <c r="A569" s="2" t="s">
        <v>1610</v>
      </c>
      <c r="B569" s="2" t="s">
        <v>1611</v>
      </c>
      <c r="C569" s="2" t="s">
        <v>80</v>
      </c>
      <c r="D569" s="2" t="s">
        <v>81</v>
      </c>
      <c r="E569" s="5">
        <v>-29290</v>
      </c>
      <c r="F569" s="3" t="s">
        <v>622</v>
      </c>
      <c r="G569" s="3" t="s">
        <v>55</v>
      </c>
      <c r="H569" s="2" t="s">
        <v>65</v>
      </c>
      <c r="I569" s="2" t="s">
        <v>1612</v>
      </c>
      <c r="J569" s="3" t="str">
        <f>HYPERLINK("https://www.boe.es/gazeta/dias/1819/10/21/pdfs/GMD-1819-129.pdf#page=7","Abrir facsímil")</f>
        <v>Abrir facsímil</v>
      </c>
      <c r="K569" s="3" t="s">
        <v>67</v>
      </c>
    </row>
    <row r="570" spans="1:11" ht="42" customHeight="1">
      <c r="A570" s="2" t="s">
        <v>1613</v>
      </c>
      <c r="B570" s="2" t="s">
        <v>1614</v>
      </c>
      <c r="C570" s="2" t="s">
        <v>59</v>
      </c>
      <c r="D570" s="2" t="s">
        <v>18</v>
      </c>
      <c r="E570" s="5">
        <v>-29271</v>
      </c>
      <c r="F570" s="3" t="s">
        <v>32</v>
      </c>
      <c r="G570" s="3" t="s">
        <v>33</v>
      </c>
      <c r="H570" s="2" t="s">
        <v>65</v>
      </c>
      <c r="I570" s="2" t="s">
        <v>1615</v>
      </c>
      <c r="J570" s="3" t="str">
        <f>HYPERLINK("https://www.boe.es/gazeta/dias/1819/11/09/pdfs/GMD-1819-138.pdf#page=6","Abrir facsímil")</f>
        <v>Abrir facsímil</v>
      </c>
      <c r="K570" s="3" t="s">
        <v>67</v>
      </c>
    </row>
    <row r="571" spans="1:11" ht="42" customHeight="1">
      <c r="A571" s="2" t="s">
        <v>1616</v>
      </c>
      <c r="B571" s="2" t="s">
        <v>1617</v>
      </c>
      <c r="C571" s="2" t="s">
        <v>26</v>
      </c>
      <c r="D571" s="2" t="s">
        <v>18</v>
      </c>
      <c r="E571" s="5">
        <v>-29558</v>
      </c>
      <c r="F571" s="3" t="s">
        <v>1463</v>
      </c>
      <c r="G571" s="3" t="s">
        <v>28</v>
      </c>
      <c r="H571" s="2" t="s">
        <v>65</v>
      </c>
      <c r="I571" s="2" t="s">
        <v>1618</v>
      </c>
      <c r="J571" s="3" t="str">
        <f>HYPERLINK("https://www.boe.es/gazeta/dias/1819/01/26/pdfs/GMD-1819-11.pdf#page=8","Abrir facsímil")</f>
        <v>Abrir facsímil</v>
      </c>
      <c r="K571" s="3" t="s">
        <v>67</v>
      </c>
    </row>
    <row r="572" spans="1:11" ht="42" customHeight="1">
      <c r="A572" s="2" t="s">
        <v>1619</v>
      </c>
      <c r="B572" s="2" t="s">
        <v>1620</v>
      </c>
      <c r="C572" s="2" t="s">
        <v>59</v>
      </c>
      <c r="D572" s="2" t="s">
        <v>18</v>
      </c>
      <c r="E572" s="5">
        <v>-29533</v>
      </c>
      <c r="F572" s="3" t="s">
        <v>280</v>
      </c>
      <c r="G572" s="3" t="s">
        <v>28</v>
      </c>
      <c r="H572" s="2" t="s">
        <v>65</v>
      </c>
      <c r="I572" s="2" t="s">
        <v>1621</v>
      </c>
      <c r="J572" s="3" t="str">
        <f>HYPERLINK("https://www.boe.es/gazeta/dias/1819/02/20/pdfs/GMD-1819-22.pdf#page=8","Abrir facsímil")</f>
        <v>Abrir facsímil</v>
      </c>
      <c r="K572" s="3" t="s">
        <v>67</v>
      </c>
    </row>
    <row r="573" spans="1:11" ht="42" customHeight="1">
      <c r="A573" s="2" t="s">
        <v>1622</v>
      </c>
      <c r="B573" s="2" t="s">
        <v>1623</v>
      </c>
      <c r="C573" s="2" t="s">
        <v>59</v>
      </c>
      <c r="D573" s="2" t="s">
        <v>18</v>
      </c>
      <c r="E573" s="5">
        <v>-29416</v>
      </c>
      <c r="F573" s="3" t="s">
        <v>251</v>
      </c>
      <c r="G573" s="3" t="s">
        <v>55</v>
      </c>
      <c r="H573" s="2" t="s">
        <v>21</v>
      </c>
      <c r="I573" s="2" t="s">
        <v>1624</v>
      </c>
      <c r="J573" s="3" t="str">
        <f>HYPERLINK("https://www.boe.es/gazeta/dias/1819/06/17/pdfs/GMD-1819-73.pdf#page=7","Abrir facsímil")</f>
        <v>Abrir facsímil</v>
      </c>
      <c r="K573" s="3" t="s">
        <v>23</v>
      </c>
    </row>
    <row r="574" spans="1:11" ht="42" customHeight="1">
      <c r="A574" s="2" t="s">
        <v>1625</v>
      </c>
      <c r="B574" s="2" t="s">
        <v>1625</v>
      </c>
      <c r="C574" s="2" t="s">
        <v>80</v>
      </c>
      <c r="D574" s="2" t="s">
        <v>81</v>
      </c>
      <c r="E574" s="5">
        <v>-29493</v>
      </c>
      <c r="F574" s="3" t="s">
        <v>404</v>
      </c>
      <c r="G574" s="3" t="s">
        <v>259</v>
      </c>
      <c r="H574" s="2" t="s">
        <v>65</v>
      </c>
      <c r="I574" s="2" t="s">
        <v>1626</v>
      </c>
      <c r="J574" s="3" t="str">
        <f>HYPERLINK("https://www.boe.es/gazeta/dias/1819/04/01/pdfs/GMD-1819-39.pdf#page=2","Abrir facsímil")</f>
        <v>Abrir facsímil</v>
      </c>
      <c r="K574" s="3" t="s">
        <v>67</v>
      </c>
    </row>
    <row r="575" spans="1:11" ht="42" customHeight="1">
      <c r="A575" s="2" t="s">
        <v>1627</v>
      </c>
      <c r="B575" s="2" t="s">
        <v>1628</v>
      </c>
      <c r="C575" s="2" t="s">
        <v>59</v>
      </c>
      <c r="D575" s="2" t="s">
        <v>18</v>
      </c>
      <c r="E575" s="5">
        <v>-29516</v>
      </c>
      <c r="F575" s="3" t="s">
        <v>137</v>
      </c>
      <c r="G575" s="3" t="s">
        <v>456</v>
      </c>
      <c r="H575" s="2" t="s">
        <v>65</v>
      </c>
      <c r="I575" s="2" t="s">
        <v>1629</v>
      </c>
      <c r="J575" s="3" t="str">
        <f>HYPERLINK("https://www.boe.es/gazeta/dias/1819/03/09/pdfs/GMD-1819-29.pdf#page=9","Abrir facsímil")</f>
        <v>Abrir facsímil</v>
      </c>
      <c r="K575" s="3" t="s">
        <v>67</v>
      </c>
    </row>
    <row r="576" spans="1:11" ht="42" customHeight="1">
      <c r="A576" s="2" t="s">
        <v>1630</v>
      </c>
      <c r="B576" s="2" t="s">
        <v>1631</v>
      </c>
      <c r="C576" s="2" t="s">
        <v>63</v>
      </c>
      <c r="D576" s="2" t="s">
        <v>43</v>
      </c>
      <c r="E576" s="5">
        <v>-29304</v>
      </c>
      <c r="F576" s="3" t="s">
        <v>519</v>
      </c>
      <c r="G576" s="3" t="s">
        <v>55</v>
      </c>
      <c r="H576" s="2" t="s">
        <v>65</v>
      </c>
      <c r="I576" s="2" t="s">
        <v>1632</v>
      </c>
      <c r="J576" s="3" t="str">
        <f>HYPERLINK("https://www.boe.es/gazeta/dias/1819/10/07/pdfs/GMD-1819-123.pdf#page=7","Abrir facsímil")</f>
        <v>Abrir facsímil</v>
      </c>
      <c r="K576" s="3" t="s">
        <v>67</v>
      </c>
    </row>
    <row r="577" spans="1:11" ht="42" customHeight="1">
      <c r="A577" s="2" t="s">
        <v>1633</v>
      </c>
      <c r="B577" s="2" t="s">
        <v>1634</v>
      </c>
      <c r="C577" s="2" t="s">
        <v>59</v>
      </c>
      <c r="D577" s="2" t="s">
        <v>18</v>
      </c>
      <c r="E577" s="5">
        <v>-29316</v>
      </c>
      <c r="F577" s="3" t="s">
        <v>166</v>
      </c>
      <c r="G577" s="3" t="s">
        <v>38</v>
      </c>
      <c r="H577" s="2" t="s">
        <v>65</v>
      </c>
      <c r="I577" s="2" t="s">
        <v>1635</v>
      </c>
      <c r="J577" s="3" t="str">
        <f>HYPERLINK("https://www.boe.es/gazeta/dias/1819/09/25/pdfs/GMD-1819-118.pdf#page=5","Abrir facsímil")</f>
        <v>Abrir facsímil</v>
      </c>
      <c r="K577" s="3" t="s">
        <v>67</v>
      </c>
    </row>
    <row r="578" spans="1:11" ht="42" customHeight="1">
      <c r="A578" s="2" t="s">
        <v>1636</v>
      </c>
      <c r="B578" s="2" t="s">
        <v>1636</v>
      </c>
      <c r="C578" s="2" t="s">
        <v>80</v>
      </c>
      <c r="D578" s="2" t="s">
        <v>81</v>
      </c>
      <c r="E578" s="5">
        <v>-29388</v>
      </c>
      <c r="F578" s="3" t="s">
        <v>879</v>
      </c>
      <c r="G578" s="3" t="s">
        <v>55</v>
      </c>
      <c r="H578" s="2" t="s">
        <v>65</v>
      </c>
      <c r="I578" s="2" t="s">
        <v>1637</v>
      </c>
      <c r="J578" s="3" t="str">
        <f>HYPERLINK("https://www.boe.es/gazeta/dias/1819/07/15/pdfs/GMD-1819-85.pdf#page=7","Abrir facsímil")</f>
        <v>Abrir facsímil</v>
      </c>
      <c r="K578" s="3" t="s">
        <v>67</v>
      </c>
    </row>
    <row r="579" spans="1:11" ht="42" customHeight="1">
      <c r="A579" s="2" t="s">
        <v>1638</v>
      </c>
      <c r="B579" s="2" t="s">
        <v>1639</v>
      </c>
      <c r="C579" s="2" t="s">
        <v>59</v>
      </c>
      <c r="D579" s="2" t="s">
        <v>18</v>
      </c>
      <c r="E579" s="5">
        <v>-29414</v>
      </c>
      <c r="F579" s="3" t="s">
        <v>732</v>
      </c>
      <c r="G579" s="3" t="s">
        <v>38</v>
      </c>
      <c r="H579" s="2" t="s">
        <v>65</v>
      </c>
      <c r="I579" s="2" t="s">
        <v>1640</v>
      </c>
      <c r="J579" s="3" t="str">
        <f>HYPERLINK("https://www.boe.es/gazeta/dias/1819/06/19/pdfs/GMD-1819-74.pdf#page=5","Abrir facsímil")</f>
        <v>Abrir facsímil</v>
      </c>
      <c r="K579" s="3" t="s">
        <v>67</v>
      </c>
    </row>
    <row r="580" spans="1:11" ht="42" customHeight="1">
      <c r="A580" s="2" t="s">
        <v>1641</v>
      </c>
      <c r="B580" s="2" t="s">
        <v>1642</v>
      </c>
      <c r="C580" s="2" t="s">
        <v>80</v>
      </c>
      <c r="D580" s="2" t="s">
        <v>454</v>
      </c>
      <c r="E580" s="5">
        <v>-29287</v>
      </c>
      <c r="F580" s="3" t="s">
        <v>455</v>
      </c>
      <c r="G580" s="3" t="s">
        <v>481</v>
      </c>
      <c r="H580" s="2" t="s">
        <v>65</v>
      </c>
      <c r="I580" s="2" t="s">
        <v>1643</v>
      </c>
      <c r="J580" s="3" t="str">
        <f>HYPERLINK("https://www.boe.es/gazeta/dias/1819/10/24/pdfs/GMD-1819-131E.pdf#page=8","Abrir facsímil")</f>
        <v>Abrir facsímil</v>
      </c>
      <c r="K580" s="3" t="s">
        <v>67</v>
      </c>
    </row>
    <row r="581" spans="1:11" ht="42" customHeight="1">
      <c r="A581" s="2" t="s">
        <v>1644</v>
      </c>
      <c r="B581" s="2" t="s">
        <v>1645</v>
      </c>
      <c r="C581" s="2" t="s">
        <v>63</v>
      </c>
      <c r="D581" s="2" t="s">
        <v>43</v>
      </c>
      <c r="E581" s="5">
        <v>-29281</v>
      </c>
      <c r="F581" s="3" t="s">
        <v>19</v>
      </c>
      <c r="G581" s="3" t="s">
        <v>55</v>
      </c>
      <c r="H581" s="2" t="s">
        <v>65</v>
      </c>
      <c r="I581" s="2" t="s">
        <v>1646</v>
      </c>
      <c r="J581" s="3" t="str">
        <f>HYPERLINK("https://www.boe.es/gazeta/dias/1819/10/30/pdfs/GMD-1819-134.pdf#page=7","Abrir facsímil")</f>
        <v>Abrir facsímil</v>
      </c>
      <c r="K581" s="3" t="s">
        <v>67</v>
      </c>
    </row>
    <row r="582" spans="1:11" ht="42" customHeight="1">
      <c r="A582" s="2" t="s">
        <v>1647</v>
      </c>
      <c r="B582" s="2" t="s">
        <v>1648</v>
      </c>
      <c r="C582" s="2" t="s">
        <v>59</v>
      </c>
      <c r="D582" s="2" t="s">
        <v>18</v>
      </c>
      <c r="E582" s="5">
        <v>-29575</v>
      </c>
      <c r="F582" s="3" t="s">
        <v>77</v>
      </c>
      <c r="G582" s="3" t="s">
        <v>55</v>
      </c>
      <c r="H582" s="2" t="s">
        <v>21</v>
      </c>
      <c r="I582" s="2" t="s">
        <v>1649</v>
      </c>
      <c r="J582" s="3" t="str">
        <f>HYPERLINK("https://www.boe.es/gazeta/dias/1819/01/09/pdfs/GMD-1819-4.pdf#page=7","Abrir facsímil")</f>
        <v>Abrir facsímil</v>
      </c>
      <c r="K582" s="3" t="s">
        <v>23</v>
      </c>
    </row>
    <row r="583" spans="1:11" ht="42" customHeight="1">
      <c r="A583" s="2" t="s">
        <v>1650</v>
      </c>
      <c r="B583" s="2" t="s">
        <v>1651</v>
      </c>
      <c r="C583" s="2" t="s">
        <v>80</v>
      </c>
      <c r="D583" s="2" t="s">
        <v>81</v>
      </c>
      <c r="E583" s="5">
        <v>-29388</v>
      </c>
      <c r="F583" s="3" t="s">
        <v>879</v>
      </c>
      <c r="G583" s="3" t="s">
        <v>55</v>
      </c>
      <c r="H583" s="2" t="s">
        <v>21</v>
      </c>
      <c r="I583" s="2" t="s">
        <v>1652</v>
      </c>
      <c r="J583" s="3" t="str">
        <f>HYPERLINK("https://www.boe.es/gazeta/dias/1819/07/15/pdfs/GMD-1819-85.pdf#page=7","Abrir facsímil")</f>
        <v>Abrir facsímil</v>
      </c>
      <c r="K583" s="3" t="s">
        <v>23</v>
      </c>
    </row>
    <row r="584" spans="1:11" ht="42" customHeight="1">
      <c r="A584" s="2" t="s">
        <v>1653</v>
      </c>
      <c r="B584" s="2" t="s">
        <v>1654</v>
      </c>
      <c r="C584" s="2" t="s">
        <v>63</v>
      </c>
      <c r="D584" s="2" t="s">
        <v>43</v>
      </c>
      <c r="E584" s="5">
        <v>-29388</v>
      </c>
      <c r="F584" s="3" t="s">
        <v>879</v>
      </c>
      <c r="G584" s="3" t="s">
        <v>55</v>
      </c>
      <c r="H584" s="2" t="s">
        <v>65</v>
      </c>
      <c r="I584" s="2" t="s">
        <v>1655</v>
      </c>
      <c r="J584" s="3" t="str">
        <f>HYPERLINK("https://www.boe.es/gazeta/dias/1819/07/15/pdfs/GMD-1819-85.pdf#page=7","Abrir facsímil")</f>
        <v>Abrir facsímil</v>
      </c>
      <c r="K584" s="3" t="s">
        <v>67</v>
      </c>
    </row>
    <row r="585" spans="1:11" ht="42" customHeight="1">
      <c r="A585" s="2" t="s">
        <v>1656</v>
      </c>
      <c r="B585" s="2" t="s">
        <v>1657</v>
      </c>
      <c r="C585" s="2" t="s">
        <v>59</v>
      </c>
      <c r="D585" s="2" t="s">
        <v>18</v>
      </c>
      <c r="E585" s="5">
        <v>-29537</v>
      </c>
      <c r="F585" s="3" t="s">
        <v>593</v>
      </c>
      <c r="G585" s="3" t="s">
        <v>456</v>
      </c>
      <c r="H585" s="2" t="s">
        <v>21</v>
      </c>
      <c r="I585" s="2" t="s">
        <v>1658</v>
      </c>
      <c r="J585" s="3" t="str">
        <f>HYPERLINK("https://www.boe.es/gazeta/dias/1819/02/16/pdfs/GMD-1819-20.pdf#page=9","Abrir facsímil")</f>
        <v>Abrir facsímil</v>
      </c>
      <c r="K585" s="3" t="s">
        <v>23</v>
      </c>
    </row>
    <row r="586" spans="1:11" ht="42" customHeight="1">
      <c r="A586" s="2" t="s">
        <v>1659</v>
      </c>
      <c r="B586" s="2" t="s">
        <v>1660</v>
      </c>
      <c r="C586" s="2" t="s">
        <v>17</v>
      </c>
      <c r="D586" s="2" t="s">
        <v>18</v>
      </c>
      <c r="E586" s="5">
        <v>-29271</v>
      </c>
      <c r="F586" s="3" t="s">
        <v>32</v>
      </c>
      <c r="G586" s="3" t="s">
        <v>33</v>
      </c>
      <c r="H586" s="2" t="s">
        <v>21</v>
      </c>
      <c r="I586" s="2" t="s">
        <v>1661</v>
      </c>
      <c r="J586" s="3" t="str">
        <f>HYPERLINK("https://www.boe.es/gazeta/dias/1819/11/09/pdfs/GMD-1819-138.pdf#page=6","Abrir facsímil")</f>
        <v>Abrir facsímil</v>
      </c>
      <c r="K586" s="3" t="s">
        <v>23</v>
      </c>
    </row>
    <row r="587" spans="1:11" ht="42" customHeight="1">
      <c r="A587" s="2" t="s">
        <v>1662</v>
      </c>
      <c r="B587" s="2" t="s">
        <v>1663</v>
      </c>
      <c r="C587" s="2" t="s">
        <v>17</v>
      </c>
      <c r="D587" s="2" t="s">
        <v>18</v>
      </c>
      <c r="E587" s="5">
        <v>-29229</v>
      </c>
      <c r="F587" s="3" t="s">
        <v>44</v>
      </c>
      <c r="G587" s="3" t="s">
        <v>296</v>
      </c>
      <c r="H587" s="2" t="s">
        <v>21</v>
      </c>
      <c r="I587" s="2" t="s">
        <v>1664</v>
      </c>
      <c r="J587" s="3" t="str">
        <f>HYPERLINK("https://www.boe.es/gazeta/dias/1819/12/21/pdfs/GMD-1819-156.pdf#page=4","Abrir facsímil")</f>
        <v>Abrir facsímil</v>
      </c>
      <c r="K587" s="3" t="s">
        <v>23</v>
      </c>
    </row>
    <row r="588" spans="1:11" ht="42" customHeight="1">
      <c r="A588" s="2" t="s">
        <v>1665</v>
      </c>
      <c r="B588" s="2" t="s">
        <v>1666</v>
      </c>
      <c r="C588" s="2" t="s">
        <v>17</v>
      </c>
      <c r="D588" s="2" t="s">
        <v>18</v>
      </c>
      <c r="E588" s="5">
        <v>-29271</v>
      </c>
      <c r="F588" s="3" t="s">
        <v>32</v>
      </c>
      <c r="G588" s="3" t="s">
        <v>33</v>
      </c>
      <c r="H588" s="2" t="s">
        <v>21</v>
      </c>
      <c r="I588" s="2" t="s">
        <v>1667</v>
      </c>
      <c r="J588" s="3" t="str">
        <f>HYPERLINK("https://www.boe.es/gazeta/dias/1819/11/09/pdfs/GMD-1819-138.pdf#page=6","Abrir facsímil")</f>
        <v>Abrir facsímil</v>
      </c>
      <c r="K588" s="3" t="s">
        <v>23</v>
      </c>
    </row>
    <row r="589" spans="1:11" ht="42" customHeight="1">
      <c r="A589" s="2" t="s">
        <v>1668</v>
      </c>
      <c r="B589" s="2" t="s">
        <v>1669</v>
      </c>
      <c r="C589" s="2" t="s">
        <v>17</v>
      </c>
      <c r="D589" s="2" t="s">
        <v>18</v>
      </c>
      <c r="E589" s="5">
        <v>-29271</v>
      </c>
      <c r="F589" s="3" t="s">
        <v>32</v>
      </c>
      <c r="G589" s="3" t="s">
        <v>33</v>
      </c>
      <c r="H589" s="2" t="s">
        <v>21</v>
      </c>
      <c r="I589" s="2" t="s">
        <v>1670</v>
      </c>
      <c r="J589" s="3" t="str">
        <f>HYPERLINK("https://www.boe.es/gazeta/dias/1819/11/09/pdfs/GMD-1819-138.pdf#page=6","Abrir facsímil")</f>
        <v>Abrir facsímil</v>
      </c>
      <c r="K589" s="3" t="s">
        <v>23</v>
      </c>
    </row>
    <row r="590" spans="1:11" ht="42" customHeight="1">
      <c r="A590" s="2" t="s">
        <v>1671</v>
      </c>
      <c r="B590" s="2" t="s">
        <v>1672</v>
      </c>
      <c r="C590" s="2" t="s">
        <v>17</v>
      </c>
      <c r="D590" s="2" t="s">
        <v>18</v>
      </c>
      <c r="E590" s="5">
        <v>-29271</v>
      </c>
      <c r="F590" s="3" t="s">
        <v>32</v>
      </c>
      <c r="G590" s="3" t="s">
        <v>33</v>
      </c>
      <c r="H590" s="2" t="s">
        <v>21</v>
      </c>
      <c r="I590" s="2" t="s">
        <v>1673</v>
      </c>
      <c r="J590" s="3" t="str">
        <f>HYPERLINK("https://www.boe.es/gazeta/dias/1819/11/09/pdfs/GMD-1819-138.pdf#page=6","Abrir facsímil")</f>
        <v>Abrir facsímil</v>
      </c>
      <c r="K590" s="3" t="s">
        <v>23</v>
      </c>
    </row>
    <row r="591" spans="1:11" ht="42" customHeight="1">
      <c r="A591" s="2" t="s">
        <v>1674</v>
      </c>
      <c r="B591" s="2" t="s">
        <v>1675</v>
      </c>
      <c r="C591" s="2" t="s">
        <v>59</v>
      </c>
      <c r="D591" s="2" t="s">
        <v>18</v>
      </c>
      <c r="E591" s="5">
        <v>-29264</v>
      </c>
      <c r="F591" s="3" t="s">
        <v>37</v>
      </c>
      <c r="G591" s="3" t="s">
        <v>38</v>
      </c>
      <c r="H591" s="2" t="s">
        <v>21</v>
      </c>
      <c r="I591" s="2" t="s">
        <v>1676</v>
      </c>
      <c r="J591" s="3" t="str">
        <f>HYPERLINK("https://www.boe.es/gazeta/dias/1819/11/16/pdfs/GMD-1819-141.pdf#page=5","Abrir facsímil")</f>
        <v>Abrir facsímil</v>
      </c>
      <c r="K591" s="3" t="s">
        <v>23</v>
      </c>
    </row>
    <row r="592" spans="1:11" ht="42" customHeight="1">
      <c r="A592" s="2" t="s">
        <v>1677</v>
      </c>
      <c r="B592" s="2" t="s">
        <v>1678</v>
      </c>
      <c r="C592" s="2" t="s">
        <v>59</v>
      </c>
      <c r="D592" s="2" t="s">
        <v>18</v>
      </c>
      <c r="E592" s="5">
        <v>-29276</v>
      </c>
      <c r="F592" s="3" t="s">
        <v>54</v>
      </c>
      <c r="G592" s="3" t="s">
        <v>284</v>
      </c>
      <c r="H592" s="2" t="s">
        <v>21</v>
      </c>
      <c r="I592" s="2" t="s">
        <v>1679</v>
      </c>
      <c r="J592" s="3" t="str">
        <f>HYPERLINK("https://www.boe.es/gazeta/dias/1819/11/04/pdfs/GMD-1819-136.pdf#page=6","Abrir facsímil")</f>
        <v>Abrir facsímil</v>
      </c>
      <c r="K592" s="3" t="s">
        <v>23</v>
      </c>
    </row>
    <row r="593" spans="1:11" ht="42" customHeight="1">
      <c r="A593" s="2" t="s">
        <v>1680</v>
      </c>
      <c r="B593" s="2" t="s">
        <v>1681</v>
      </c>
      <c r="C593" s="2" t="s">
        <v>26</v>
      </c>
      <c r="D593" s="2" t="s">
        <v>18</v>
      </c>
      <c r="E593" s="5">
        <v>-29260</v>
      </c>
      <c r="F593" s="3" t="s">
        <v>93</v>
      </c>
      <c r="G593" s="3" t="s">
        <v>33</v>
      </c>
      <c r="H593" s="2" t="s">
        <v>21</v>
      </c>
      <c r="I593" s="2" t="s">
        <v>1682</v>
      </c>
      <c r="J593" s="3" t="str">
        <f>HYPERLINK("https://www.boe.es/gazeta/dias/1819/11/20/pdfs/GMD-1819-143.pdf#page=6","Abrir facsímil")</f>
        <v>Abrir facsímil</v>
      </c>
      <c r="K593" s="3" t="s">
        <v>23</v>
      </c>
    </row>
    <row r="594" spans="1:11" ht="42" customHeight="1">
      <c r="A594" s="2" t="s">
        <v>1680</v>
      </c>
      <c r="B594" s="2" t="s">
        <v>1681</v>
      </c>
      <c r="C594" s="2" t="s">
        <v>17</v>
      </c>
      <c r="D594" s="2" t="s">
        <v>18</v>
      </c>
      <c r="E594" s="5">
        <v>-29241</v>
      </c>
      <c r="F594" s="3" t="s">
        <v>1382</v>
      </c>
      <c r="G594" s="3" t="s">
        <v>38</v>
      </c>
      <c r="H594" s="2" t="s">
        <v>21</v>
      </c>
      <c r="I594" s="2" t="s">
        <v>1683</v>
      </c>
      <c r="J594" s="3" t="str">
        <f>HYPERLINK("https://www.boe.es/gazeta/dias/1819/12/09/pdfs/GMD-1819-151.pdf#page=5","Abrir facsímil")</f>
        <v>Abrir facsímil</v>
      </c>
      <c r="K594" s="3" t="s">
        <v>23</v>
      </c>
    </row>
    <row r="595" spans="1:11" ht="42" customHeight="1">
      <c r="A595" s="2" t="s">
        <v>1680</v>
      </c>
      <c r="B595" s="2" t="s">
        <v>1681</v>
      </c>
      <c r="C595" s="2" t="s">
        <v>17</v>
      </c>
      <c r="D595" s="2" t="s">
        <v>18</v>
      </c>
      <c r="E595" s="5">
        <v>-29222</v>
      </c>
      <c r="F595" s="3" t="s">
        <v>338</v>
      </c>
      <c r="G595" s="3" t="s">
        <v>38</v>
      </c>
      <c r="H595" s="2" t="s">
        <v>21</v>
      </c>
      <c r="I595" s="2" t="s">
        <v>1684</v>
      </c>
      <c r="J595" s="3" t="str">
        <f>HYPERLINK("https://www.boe.es/gazeta/dias/1819/12/28/pdfs/GMD-1819-159.pdf#page=5","Abrir facsímil")</f>
        <v>Abrir facsímil</v>
      </c>
      <c r="K595" s="3" t="s">
        <v>23</v>
      </c>
    </row>
    <row r="596" spans="1:11" ht="42" customHeight="1">
      <c r="A596" s="2" t="s">
        <v>1685</v>
      </c>
      <c r="B596" s="2" t="s">
        <v>1686</v>
      </c>
      <c r="C596" s="2" t="s">
        <v>17</v>
      </c>
      <c r="D596" s="2" t="s">
        <v>18</v>
      </c>
      <c r="E596" s="5">
        <v>-29260</v>
      </c>
      <c r="F596" s="3" t="s">
        <v>93</v>
      </c>
      <c r="G596" s="3" t="s">
        <v>33</v>
      </c>
      <c r="H596" s="2" t="s">
        <v>21</v>
      </c>
      <c r="I596" s="2" t="s">
        <v>1687</v>
      </c>
      <c r="J596" s="3" t="str">
        <f>HYPERLINK("https://www.boe.es/gazeta/dias/1819/11/20/pdfs/GMD-1819-143.pdf#page=6","Abrir facsímil")</f>
        <v>Abrir facsímil</v>
      </c>
      <c r="K596" s="3" t="s">
        <v>23</v>
      </c>
    </row>
    <row r="597" spans="1:11" ht="42" customHeight="1">
      <c r="A597" s="2" t="s">
        <v>1688</v>
      </c>
      <c r="B597" s="2" t="s">
        <v>1689</v>
      </c>
      <c r="C597" s="2" t="s">
        <v>63</v>
      </c>
      <c r="D597" s="2" t="s">
        <v>43</v>
      </c>
      <c r="E597" s="5">
        <v>-29253</v>
      </c>
      <c r="F597" s="3" t="s">
        <v>242</v>
      </c>
      <c r="G597" s="3" t="s">
        <v>1048</v>
      </c>
      <c r="H597" s="2" t="s">
        <v>21</v>
      </c>
      <c r="I597" s="2" t="s">
        <v>1690</v>
      </c>
      <c r="J597" s="3" t="str">
        <f>HYPERLINK("https://www.boe.es/gazeta/dias/1819/11/27/pdfs/GMD-1819-146.pdf#page=5","Abrir facsímil")</f>
        <v>Abrir facsímil</v>
      </c>
      <c r="K597" s="3" t="s">
        <v>23</v>
      </c>
    </row>
    <row r="598" spans="1:11" ht="42" customHeight="1">
      <c r="A598" s="2" t="s">
        <v>1691</v>
      </c>
      <c r="B598" s="2" t="s">
        <v>1692</v>
      </c>
      <c r="C598" s="2" t="s">
        <v>17</v>
      </c>
      <c r="D598" s="2" t="s">
        <v>18</v>
      </c>
      <c r="E598" s="5">
        <v>-29264</v>
      </c>
      <c r="F598" s="3" t="s">
        <v>37</v>
      </c>
      <c r="G598" s="3" t="s">
        <v>38</v>
      </c>
      <c r="H598" s="2" t="s">
        <v>21</v>
      </c>
      <c r="I598" s="2" t="s">
        <v>1693</v>
      </c>
      <c r="J598" s="3" t="str">
        <f>HYPERLINK("https://www.boe.es/gazeta/dias/1819/11/16/pdfs/GMD-1819-141.pdf#page=5","Abrir facsímil")</f>
        <v>Abrir facsímil</v>
      </c>
      <c r="K598" s="3" t="s">
        <v>23</v>
      </c>
    </row>
    <row r="599" spans="1:11" ht="42" customHeight="1">
      <c r="A599" s="2" t="s">
        <v>1694</v>
      </c>
      <c r="B599" s="2" t="s">
        <v>1695</v>
      </c>
      <c r="C599" s="2" t="s">
        <v>80</v>
      </c>
      <c r="D599" s="2" t="s">
        <v>81</v>
      </c>
      <c r="E599" s="5">
        <v>-29269</v>
      </c>
      <c r="F599" s="3" t="s">
        <v>565</v>
      </c>
      <c r="G599" s="3" t="s">
        <v>38</v>
      </c>
      <c r="H599" s="2" t="s">
        <v>21</v>
      </c>
      <c r="I599" s="2" t="s">
        <v>1696</v>
      </c>
      <c r="J599" s="3" t="str">
        <f>HYPERLINK("https://www.boe.es/gazeta/dias/1819/11/11/pdfs/GMD-1819-139.pdf#page=5","Abrir facsímil")</f>
        <v>Abrir facsímil</v>
      </c>
      <c r="K599" s="3" t="s">
        <v>23</v>
      </c>
    </row>
    <row r="600" spans="1:11" ht="42" customHeight="1">
      <c r="A600" s="2" t="s">
        <v>1697</v>
      </c>
      <c r="B600" s="2" t="s">
        <v>1698</v>
      </c>
      <c r="C600" s="2" t="s">
        <v>59</v>
      </c>
      <c r="D600" s="2" t="s">
        <v>18</v>
      </c>
      <c r="E600" s="5">
        <v>-29276</v>
      </c>
      <c r="F600" s="3" t="s">
        <v>54</v>
      </c>
      <c r="G600" s="3" t="s">
        <v>55</v>
      </c>
      <c r="H600" s="2" t="s">
        <v>21</v>
      </c>
      <c r="I600" s="2" t="s">
        <v>1699</v>
      </c>
      <c r="J600" s="3" t="str">
        <f>HYPERLINK("https://www.boe.es/gazeta/dias/1819/11/04/pdfs/GMD-1819-136.pdf#page=7","Abrir facsímil")</f>
        <v>Abrir facsímil</v>
      </c>
      <c r="K600" s="3" t="s">
        <v>23</v>
      </c>
    </row>
    <row r="601" spans="1:11" ht="42" customHeight="1">
      <c r="A601" s="2" t="s">
        <v>1700</v>
      </c>
      <c r="B601" s="2" t="s">
        <v>1701</v>
      </c>
      <c r="C601" s="2" t="s">
        <v>59</v>
      </c>
      <c r="D601" s="2" t="s">
        <v>18</v>
      </c>
      <c r="E601" s="5">
        <v>-29269</v>
      </c>
      <c r="F601" s="3" t="s">
        <v>565</v>
      </c>
      <c r="G601" s="3" t="s">
        <v>38</v>
      </c>
      <c r="H601" s="2" t="s">
        <v>21</v>
      </c>
      <c r="I601" s="2" t="s">
        <v>1702</v>
      </c>
      <c r="J601" s="3" t="str">
        <f>HYPERLINK("https://www.boe.es/gazeta/dias/1819/11/11/pdfs/GMD-1819-139.pdf#page=5","Abrir facsímil")</f>
        <v>Abrir facsímil</v>
      </c>
      <c r="K601" s="3" t="s">
        <v>23</v>
      </c>
    </row>
    <row r="602" spans="1:11" ht="42" customHeight="1">
      <c r="A602" s="2" t="s">
        <v>1700</v>
      </c>
      <c r="B602" s="2" t="s">
        <v>1701</v>
      </c>
      <c r="C602" s="2" t="s">
        <v>26</v>
      </c>
      <c r="D602" s="2" t="s">
        <v>18</v>
      </c>
      <c r="E602" s="5">
        <v>-29229</v>
      </c>
      <c r="F602" s="3" t="s">
        <v>44</v>
      </c>
      <c r="G602" s="3" t="s">
        <v>38</v>
      </c>
      <c r="H602" s="2" t="s">
        <v>21</v>
      </c>
      <c r="I602" s="2" t="s">
        <v>1703</v>
      </c>
      <c r="J602" s="3" t="str">
        <f>HYPERLINK("https://www.boe.es/gazeta/dias/1819/12/21/pdfs/GMD-1819-156.pdf#page=5","Abrir facsímil")</f>
        <v>Abrir facsímil</v>
      </c>
      <c r="K602" s="3" t="s">
        <v>23</v>
      </c>
    </row>
    <row r="603" spans="1:11" ht="42" customHeight="1">
      <c r="A603" s="2" t="s">
        <v>1704</v>
      </c>
      <c r="B603" s="2" t="s">
        <v>1705</v>
      </c>
      <c r="C603" s="2" t="s">
        <v>17</v>
      </c>
      <c r="D603" s="2" t="s">
        <v>18</v>
      </c>
      <c r="E603" s="5">
        <v>-29260</v>
      </c>
      <c r="F603" s="3" t="s">
        <v>93</v>
      </c>
      <c r="G603" s="3" t="s">
        <v>33</v>
      </c>
      <c r="H603" s="2" t="s">
        <v>21</v>
      </c>
      <c r="I603" s="2" t="s">
        <v>1706</v>
      </c>
      <c r="J603" s="3" t="str">
        <f>HYPERLINK("https://www.boe.es/gazeta/dias/1819/11/20/pdfs/GMD-1819-143.pdf#page=6","Abrir facsímil")</f>
        <v>Abrir facsímil</v>
      </c>
      <c r="K603" s="3" t="s">
        <v>23</v>
      </c>
    </row>
    <row r="604" spans="1:11" ht="42" customHeight="1">
      <c r="A604" s="2" t="s">
        <v>1707</v>
      </c>
      <c r="B604" s="2" t="s">
        <v>1708</v>
      </c>
      <c r="C604" s="2" t="s">
        <v>63</v>
      </c>
      <c r="D604" s="2" t="s">
        <v>43</v>
      </c>
      <c r="E604" s="5">
        <v>-29442</v>
      </c>
      <c r="F604" s="3" t="s">
        <v>427</v>
      </c>
      <c r="G604" s="3" t="s">
        <v>28</v>
      </c>
      <c r="H604" s="2" t="s">
        <v>65</v>
      </c>
      <c r="I604" s="2" t="s">
        <v>1709</v>
      </c>
      <c r="J604" s="3" t="str">
        <f>HYPERLINK("https://www.boe.es/gazeta/dias/1819/05/22/pdfs/GMD-1819-61.pdf#page=8","Abrir facsímil")</f>
        <v>Abrir facsímil</v>
      </c>
      <c r="K604" s="3" t="s">
        <v>67</v>
      </c>
    </row>
    <row r="605" spans="1:11" ht="42" customHeight="1">
      <c r="A605" s="2" t="s">
        <v>1710</v>
      </c>
      <c r="B605" s="2" t="s">
        <v>1711</v>
      </c>
      <c r="C605" s="2" t="s">
        <v>136</v>
      </c>
      <c r="D605" s="2" t="s">
        <v>18</v>
      </c>
      <c r="E605" s="5">
        <v>-29467</v>
      </c>
      <c r="F605" s="3" t="s">
        <v>1712</v>
      </c>
      <c r="G605" s="3" t="s">
        <v>1713</v>
      </c>
      <c r="H605" s="2" t="s">
        <v>21</v>
      </c>
      <c r="I605" s="2" t="s">
        <v>1714</v>
      </c>
      <c r="J605" s="3" t="str">
        <f>HYPERLINK("https://www.boe.es/gazeta/dias/1819/04/27/pdfs/GMD-1819-50.pdf#page=4","Abrir facsímil")</f>
        <v>Abrir facsímil</v>
      </c>
      <c r="K605" s="3" t="s">
        <v>23</v>
      </c>
    </row>
    <row r="606" spans="1:11" ht="42" customHeight="1">
      <c r="A606" s="2" t="s">
        <v>1715</v>
      </c>
      <c r="B606" s="2" t="s">
        <v>1716</v>
      </c>
      <c r="C606" s="2" t="s">
        <v>26</v>
      </c>
      <c r="D606" s="2" t="s">
        <v>18</v>
      </c>
      <c r="E606" s="5">
        <v>-29554</v>
      </c>
      <c r="F606" s="3" t="s">
        <v>150</v>
      </c>
      <c r="G606" s="3" t="s">
        <v>28</v>
      </c>
      <c r="H606" s="2" t="s">
        <v>65</v>
      </c>
      <c r="I606" s="2" t="s">
        <v>1717</v>
      </c>
      <c r="J606" s="3" t="str">
        <f>HYPERLINK("https://www.boe.es/gazeta/dias/1819/01/30/pdfs/GMD-1819-13.pdf#page=8","Abrir facsímil")</f>
        <v>Abrir facsímil</v>
      </c>
      <c r="K606" s="3" t="s">
        <v>67</v>
      </c>
    </row>
    <row r="607" spans="1:11" ht="42" customHeight="1">
      <c r="A607" s="2" t="s">
        <v>1718</v>
      </c>
      <c r="B607" s="2" t="s">
        <v>1719</v>
      </c>
      <c r="C607" s="2" t="s">
        <v>63</v>
      </c>
      <c r="D607" s="2" t="s">
        <v>43</v>
      </c>
      <c r="E607" s="5">
        <v>-29281</v>
      </c>
      <c r="F607" s="3" t="s">
        <v>19</v>
      </c>
      <c r="G607" s="3" t="s">
        <v>20</v>
      </c>
      <c r="H607" s="2" t="s">
        <v>65</v>
      </c>
      <c r="I607" s="2" t="s">
        <v>1720</v>
      </c>
      <c r="J607" s="3" t="str">
        <f>HYPERLINK("https://www.boe.es/gazeta/dias/1819/10/30/pdfs/GMD-1819-134.pdf#page=10","Abrir facsímil")</f>
        <v>Abrir facsímil</v>
      </c>
      <c r="K607" s="3" t="s">
        <v>67</v>
      </c>
    </row>
    <row r="608" spans="1:11" ht="42" customHeight="1">
      <c r="A608" s="2" t="s">
        <v>1721</v>
      </c>
      <c r="B608" s="2" t="s">
        <v>1722</v>
      </c>
      <c r="C608" s="2" t="s">
        <v>63</v>
      </c>
      <c r="D608" s="2" t="s">
        <v>43</v>
      </c>
      <c r="E608" s="5">
        <v>-29353</v>
      </c>
      <c r="F608" s="3" t="s">
        <v>867</v>
      </c>
      <c r="G608" s="3" t="s">
        <v>28</v>
      </c>
      <c r="H608" s="2" t="s">
        <v>65</v>
      </c>
      <c r="I608" s="2" t="s">
        <v>1723</v>
      </c>
      <c r="J608" s="3" t="str">
        <f>HYPERLINK("https://www.boe.es/gazeta/dias/1819/08/19/pdfs/GMD-1819-100.pdf#page=8","Abrir facsímil")</f>
        <v>Abrir facsímil</v>
      </c>
      <c r="K608" s="3" t="s">
        <v>67</v>
      </c>
    </row>
    <row r="609" spans="1:11" ht="42" customHeight="1">
      <c r="A609" s="2" t="s">
        <v>1724</v>
      </c>
      <c r="B609" s="2" t="s">
        <v>1725</v>
      </c>
      <c r="C609" s="2" t="s">
        <v>17</v>
      </c>
      <c r="D609" s="2" t="s">
        <v>18</v>
      </c>
      <c r="E609" s="5">
        <v>-29246</v>
      </c>
      <c r="F609" s="3" t="s">
        <v>494</v>
      </c>
      <c r="G609" s="3" t="s">
        <v>1726</v>
      </c>
      <c r="H609" s="2" t="s">
        <v>65</v>
      </c>
      <c r="I609" s="2" t="s">
        <v>1727</v>
      </c>
      <c r="J609" s="3" t="str">
        <f>HYPERLINK("https://www.boe.es/gazeta/dias/1819/12/04/pdfs/GMD-1819-149.pdf#page=7","Abrir facsímil")</f>
        <v>Abrir facsímil</v>
      </c>
      <c r="K609" s="3" t="s">
        <v>67</v>
      </c>
    </row>
    <row r="610" spans="1:11" ht="42" customHeight="1">
      <c r="A610" s="2" t="s">
        <v>1728</v>
      </c>
      <c r="B610" s="2" t="s">
        <v>1729</v>
      </c>
      <c r="C610" s="2" t="s">
        <v>80</v>
      </c>
      <c r="D610" s="2" t="s">
        <v>81</v>
      </c>
      <c r="E610" s="5">
        <v>-29248</v>
      </c>
      <c r="F610" s="3" t="s">
        <v>395</v>
      </c>
      <c r="G610" s="3" t="s">
        <v>138</v>
      </c>
      <c r="H610" s="2" t="s">
        <v>65</v>
      </c>
      <c r="I610" s="2" t="s">
        <v>1730</v>
      </c>
      <c r="J610" s="3" t="str">
        <f>HYPERLINK("https://www.boe.es/gazeta/dias/1819/12/02/pdfs/GMD-1819-148.pdf#page=12","Abrir facsímil")</f>
        <v>Abrir facsímil</v>
      </c>
      <c r="K610" s="3" t="s">
        <v>67</v>
      </c>
    </row>
    <row r="611" spans="1:11" ht="42" customHeight="1">
      <c r="A611" s="2" t="s">
        <v>1731</v>
      </c>
      <c r="B611" s="2" t="s">
        <v>1732</v>
      </c>
      <c r="C611" s="2" t="s">
        <v>59</v>
      </c>
      <c r="D611" s="2" t="s">
        <v>18</v>
      </c>
      <c r="E611" s="5">
        <v>-29521</v>
      </c>
      <c r="F611" s="3" t="s">
        <v>1002</v>
      </c>
      <c r="G611" s="3" t="s">
        <v>33</v>
      </c>
      <c r="H611" s="2" t="s">
        <v>65</v>
      </c>
      <c r="I611" s="2" t="s">
        <v>1733</v>
      </c>
      <c r="J611" s="3" t="str">
        <f>HYPERLINK("https://www.boe.es/gazeta/dias/1819/03/04/pdfs/GMD-1819-27.pdf#page=6","Abrir facsímil")</f>
        <v>Abrir facsímil</v>
      </c>
      <c r="K611" s="3" t="s">
        <v>67</v>
      </c>
    </row>
    <row r="612" spans="1:11" ht="42" customHeight="1">
      <c r="A612" s="2" t="s">
        <v>1734</v>
      </c>
      <c r="B612" s="2" t="s">
        <v>1735</v>
      </c>
      <c r="C612" s="2" t="s">
        <v>80</v>
      </c>
      <c r="D612" s="2" t="s">
        <v>81</v>
      </c>
      <c r="E612" s="5">
        <v>-29320</v>
      </c>
      <c r="F612" s="3" t="s">
        <v>690</v>
      </c>
      <c r="G612" s="3" t="s">
        <v>28</v>
      </c>
      <c r="H612" s="2" t="s">
        <v>65</v>
      </c>
      <c r="I612" s="2" t="s">
        <v>1736</v>
      </c>
      <c r="J612" s="3" t="str">
        <f>HYPERLINK("https://www.boe.es/gazeta/dias/1819/09/21/pdfs/GMD-1819-116.pdf#page=8","Abrir facsímil")</f>
        <v>Abrir facsímil</v>
      </c>
      <c r="K612" s="3" t="s">
        <v>67</v>
      </c>
    </row>
    <row r="613" spans="1:11" ht="42" customHeight="1">
      <c r="A613" s="2" t="s">
        <v>1737</v>
      </c>
      <c r="B613" s="2" t="s">
        <v>1738</v>
      </c>
      <c r="C613" s="2" t="s">
        <v>80</v>
      </c>
      <c r="D613" s="2" t="s">
        <v>454</v>
      </c>
      <c r="E613" s="5">
        <v>-29287</v>
      </c>
      <c r="F613" s="3" t="s">
        <v>455</v>
      </c>
      <c r="G613" s="3" t="s">
        <v>456</v>
      </c>
      <c r="H613" s="2" t="s">
        <v>65</v>
      </c>
      <c r="I613" s="2" t="s">
        <v>1739</v>
      </c>
      <c r="J613" s="3" t="str">
        <f>HYPERLINK("https://www.boe.es/gazeta/dias/1819/10/24/pdfs/GMD-1819-131E.pdf#page=9","Abrir facsímil")</f>
        <v>Abrir facsímil</v>
      </c>
      <c r="K613" s="3" t="s">
        <v>67</v>
      </c>
    </row>
    <row r="614" spans="1:11" ht="42" customHeight="1">
      <c r="A614" s="2" t="s">
        <v>1740</v>
      </c>
      <c r="B614" s="2" t="s">
        <v>1741</v>
      </c>
      <c r="C614" s="2" t="s">
        <v>80</v>
      </c>
      <c r="D614" s="2" t="s">
        <v>81</v>
      </c>
      <c r="E614" s="5">
        <v>-29260</v>
      </c>
      <c r="F614" s="3" t="s">
        <v>93</v>
      </c>
      <c r="G614" s="3" t="s">
        <v>38</v>
      </c>
      <c r="H614" s="2" t="s">
        <v>65</v>
      </c>
      <c r="I614" s="2" t="s">
        <v>1742</v>
      </c>
      <c r="J614" s="3" t="str">
        <f>HYPERLINK("https://www.boe.es/gazeta/dias/1819/11/20/pdfs/GMD-1819-143.pdf#page=5","Abrir facsímil")</f>
        <v>Abrir facsímil</v>
      </c>
      <c r="K614" s="3" t="s">
        <v>67</v>
      </c>
    </row>
    <row r="615" spans="1:11" ht="42" customHeight="1">
      <c r="A615" s="2" t="s">
        <v>1743</v>
      </c>
      <c r="B615" s="2" t="s">
        <v>1743</v>
      </c>
      <c r="C615" s="2" t="s">
        <v>59</v>
      </c>
      <c r="D615" s="2" t="s">
        <v>18</v>
      </c>
      <c r="E615" s="5">
        <v>-29446</v>
      </c>
      <c r="F615" s="3" t="s">
        <v>773</v>
      </c>
      <c r="G615" s="3" t="s">
        <v>239</v>
      </c>
      <c r="H615" s="2" t="s">
        <v>65</v>
      </c>
      <c r="I615" s="2" t="s">
        <v>1744</v>
      </c>
      <c r="J615" s="3" t="str">
        <f>HYPERLINK("https://www.boe.es/gazeta/dias/1819/05/18/pdfs/GMD-1819-59.pdf#page=1","Abrir facsímil")</f>
        <v>Abrir facsímil</v>
      </c>
      <c r="K615" s="3" t="s">
        <v>67</v>
      </c>
    </row>
    <row r="616" spans="1:11" ht="42" customHeight="1">
      <c r="A616" s="2" t="s">
        <v>1745</v>
      </c>
      <c r="B616" s="2" t="s">
        <v>1745</v>
      </c>
      <c r="C616" s="2" t="s">
        <v>136</v>
      </c>
      <c r="D616" s="2" t="s">
        <v>18</v>
      </c>
      <c r="E616" s="5">
        <v>-29435</v>
      </c>
      <c r="F616" s="3" t="s">
        <v>191</v>
      </c>
      <c r="G616" s="3" t="s">
        <v>239</v>
      </c>
      <c r="H616" s="2" t="s">
        <v>65</v>
      </c>
      <c r="I616" s="2" t="s">
        <v>1746</v>
      </c>
      <c r="J616" s="3" t="str">
        <f>HYPERLINK("https://www.boe.es/gazeta/dias/1819/05/29/pdfs/GMD-1819-64.pdf#page=1","Abrir facsímil")</f>
        <v>Abrir facsímil</v>
      </c>
      <c r="K616" s="3" t="s">
        <v>67</v>
      </c>
    </row>
    <row r="617" spans="1:11" ht="42" customHeight="1">
      <c r="A617" s="2" t="s">
        <v>1747</v>
      </c>
      <c r="B617" s="2" t="s">
        <v>1748</v>
      </c>
      <c r="C617" s="2" t="s">
        <v>17</v>
      </c>
      <c r="D617" s="2" t="s">
        <v>18</v>
      </c>
      <c r="E617" s="5">
        <v>-29257</v>
      </c>
      <c r="F617" s="3" t="s">
        <v>73</v>
      </c>
      <c r="G617" s="3" t="s">
        <v>33</v>
      </c>
      <c r="H617" s="2" t="s">
        <v>65</v>
      </c>
      <c r="I617" s="2" t="s">
        <v>1749</v>
      </c>
      <c r="J617" s="3" t="str">
        <f>HYPERLINK("https://www.boe.es/gazeta/dias/1819/11/23/pdfs/GMD-1819-144.pdf#page=6","Abrir facsímil")</f>
        <v>Abrir facsímil</v>
      </c>
      <c r="K617" s="3" t="s">
        <v>67</v>
      </c>
    </row>
    <row r="618" spans="1:11" ht="42" customHeight="1">
      <c r="A618" s="2" t="s">
        <v>1750</v>
      </c>
      <c r="B618" s="2" t="s">
        <v>1751</v>
      </c>
      <c r="C618" s="2" t="s">
        <v>59</v>
      </c>
      <c r="D618" s="2" t="s">
        <v>18</v>
      </c>
      <c r="E618" s="5">
        <v>-29346</v>
      </c>
      <c r="F618" s="3" t="s">
        <v>718</v>
      </c>
      <c r="G618" s="3" t="s">
        <v>33</v>
      </c>
      <c r="H618" s="2" t="s">
        <v>65</v>
      </c>
      <c r="I618" s="2" t="s">
        <v>1752</v>
      </c>
      <c r="J618" s="3" t="str">
        <f>HYPERLINK("https://www.boe.es/gazeta/dias/1819/08/26/pdfs/GMD-1819-103.pdf#page=6","Abrir facsímil")</f>
        <v>Abrir facsímil</v>
      </c>
      <c r="K618" s="3" t="s">
        <v>67</v>
      </c>
    </row>
    <row r="619" spans="1:11" ht="42" customHeight="1">
      <c r="A619" s="2" t="s">
        <v>1753</v>
      </c>
      <c r="B619" s="2" t="s">
        <v>1754</v>
      </c>
      <c r="C619" s="2" t="s">
        <v>59</v>
      </c>
      <c r="D619" s="2" t="s">
        <v>18</v>
      </c>
      <c r="E619" s="5">
        <v>-29575</v>
      </c>
      <c r="F619" s="3" t="s">
        <v>77</v>
      </c>
      <c r="G619" s="3" t="s">
        <v>55</v>
      </c>
      <c r="H619" s="2" t="s">
        <v>21</v>
      </c>
      <c r="I619" s="2" t="s">
        <v>1755</v>
      </c>
      <c r="J619" s="3" t="str">
        <f>HYPERLINK("https://www.boe.es/gazeta/dias/1819/01/09/pdfs/GMD-1819-4.pdf#page=7","Abrir facsímil")</f>
        <v>Abrir facsímil</v>
      </c>
      <c r="K619" s="3" t="s">
        <v>23</v>
      </c>
    </row>
    <row r="620" spans="1:11" ht="42" customHeight="1">
      <c r="A620" s="2" t="s">
        <v>1756</v>
      </c>
      <c r="B620" s="2" t="s">
        <v>1757</v>
      </c>
      <c r="C620" s="2" t="s">
        <v>80</v>
      </c>
      <c r="D620" s="2" t="s">
        <v>81</v>
      </c>
      <c r="E620" s="5">
        <v>-29563</v>
      </c>
      <c r="F620" s="3" t="s">
        <v>1087</v>
      </c>
      <c r="G620" s="3" t="s">
        <v>28</v>
      </c>
      <c r="H620" s="2" t="s">
        <v>21</v>
      </c>
      <c r="I620" s="2" t="s">
        <v>1758</v>
      </c>
      <c r="J620" s="3" t="str">
        <f>HYPERLINK("https://www.boe.es/gazeta/dias/1819/01/21/pdfs/GMD-1819-9.pdf#page=8","Abrir facsímil")</f>
        <v>Abrir facsímil</v>
      </c>
      <c r="K620" s="3" t="s">
        <v>23</v>
      </c>
    </row>
    <row r="621" spans="1:11" ht="42" customHeight="1">
      <c r="A621" s="2" t="s">
        <v>1759</v>
      </c>
      <c r="B621" s="2" t="s">
        <v>1760</v>
      </c>
      <c r="C621" s="2" t="s">
        <v>59</v>
      </c>
      <c r="D621" s="2" t="s">
        <v>18</v>
      </c>
      <c r="E621" s="5">
        <v>-29355</v>
      </c>
      <c r="F621" s="3" t="s">
        <v>347</v>
      </c>
      <c r="G621" s="3" t="s">
        <v>348</v>
      </c>
      <c r="H621" s="2" t="s">
        <v>65</v>
      </c>
      <c r="I621" s="2" t="s">
        <v>1761</v>
      </c>
      <c r="J621" s="3" t="str">
        <f>HYPERLINK("https://www.boe.es/gazeta/dias/1819/08/17/pdfs/GMD-1819-99.pdf#page=6","Abrir facsímil")</f>
        <v>Abrir facsímil</v>
      </c>
      <c r="K621" s="3" t="s">
        <v>67</v>
      </c>
    </row>
    <row r="622" spans="1:11" ht="42" customHeight="1">
      <c r="A622" s="2" t="s">
        <v>1762</v>
      </c>
      <c r="B622" s="2" t="s">
        <v>1763</v>
      </c>
      <c r="C622" s="2" t="s">
        <v>80</v>
      </c>
      <c r="D622" s="2" t="s">
        <v>81</v>
      </c>
      <c r="E622" s="5">
        <v>-29470</v>
      </c>
      <c r="F622" s="3" t="s">
        <v>1188</v>
      </c>
      <c r="G622" s="3" t="s">
        <v>33</v>
      </c>
      <c r="H622" s="2" t="s">
        <v>65</v>
      </c>
      <c r="I622" s="2" t="s">
        <v>1764</v>
      </c>
      <c r="J622" s="3" t="str">
        <f>HYPERLINK("https://www.boe.es/gazeta/dias/1819/04/24/pdfs/GMD-1819-49.pdf#page=6","Abrir facsímil")</f>
        <v>Abrir facsímil</v>
      </c>
      <c r="K622" s="3" t="s">
        <v>67</v>
      </c>
    </row>
    <row r="623" spans="1:11" ht="42" customHeight="1">
      <c r="A623" s="2" t="s">
        <v>1765</v>
      </c>
      <c r="B623" s="2" t="s">
        <v>1765</v>
      </c>
      <c r="C623" s="2" t="s">
        <v>80</v>
      </c>
      <c r="D623" s="2" t="s">
        <v>81</v>
      </c>
      <c r="E623" s="5">
        <v>-29346</v>
      </c>
      <c r="F623" s="3" t="s">
        <v>718</v>
      </c>
      <c r="G623" s="3" t="s">
        <v>55</v>
      </c>
      <c r="H623" s="2" t="s">
        <v>65</v>
      </c>
      <c r="I623" s="2" t="s">
        <v>1766</v>
      </c>
      <c r="J623" s="3" t="str">
        <f>HYPERLINK("https://www.boe.es/gazeta/dias/1819/08/26/pdfs/GMD-1819-103.pdf#page=7","Abrir facsímil")</f>
        <v>Abrir facsímil</v>
      </c>
      <c r="K623" s="3" t="s">
        <v>67</v>
      </c>
    </row>
    <row r="624" spans="1:11" ht="42" customHeight="1">
      <c r="A624" s="2" t="s">
        <v>1767</v>
      </c>
      <c r="B624" s="2" t="s">
        <v>1768</v>
      </c>
      <c r="C624" s="2" t="s">
        <v>63</v>
      </c>
      <c r="D624" s="2" t="s">
        <v>43</v>
      </c>
      <c r="E624" s="5">
        <v>-29435</v>
      </c>
      <c r="F624" s="3" t="s">
        <v>191</v>
      </c>
      <c r="G624" s="3" t="s">
        <v>28</v>
      </c>
      <c r="H624" s="2" t="s">
        <v>65</v>
      </c>
      <c r="I624" s="2" t="s">
        <v>1769</v>
      </c>
      <c r="J624" s="3" t="str">
        <f>HYPERLINK("https://www.boe.es/gazeta/dias/1819/05/29/pdfs/GMD-1819-64.pdf#page=8","Abrir facsímil")</f>
        <v>Abrir facsímil</v>
      </c>
      <c r="K624" s="3" t="s">
        <v>67</v>
      </c>
    </row>
    <row r="625" spans="1:11" ht="42" customHeight="1">
      <c r="A625" s="2" t="s">
        <v>1770</v>
      </c>
      <c r="B625" s="2" t="s">
        <v>1770</v>
      </c>
      <c r="C625" s="2" t="s">
        <v>80</v>
      </c>
      <c r="D625" s="2" t="s">
        <v>81</v>
      </c>
      <c r="E625" s="5">
        <v>-29360</v>
      </c>
      <c r="F625" s="3" t="s">
        <v>182</v>
      </c>
      <c r="G625" s="3" t="s">
        <v>239</v>
      </c>
      <c r="H625" s="2" t="s">
        <v>65</v>
      </c>
      <c r="I625" s="2" t="s">
        <v>1771</v>
      </c>
      <c r="J625" s="3" t="str">
        <f>HYPERLINK("https://www.boe.es/gazeta/dias/1819/08/12/pdfs/GMD-1819-97.pdf#page=1","Abrir facsímil")</f>
        <v>Abrir facsímil</v>
      </c>
      <c r="K625" s="3" t="s">
        <v>67</v>
      </c>
    </row>
    <row r="626" spans="1:11" ht="42" customHeight="1">
      <c r="A626" s="2" t="s">
        <v>1772</v>
      </c>
      <c r="B626" s="2" t="s">
        <v>1773</v>
      </c>
      <c r="C626" s="2" t="s">
        <v>17</v>
      </c>
      <c r="D626" s="2" t="s">
        <v>18</v>
      </c>
      <c r="E626" s="5">
        <v>-29509</v>
      </c>
      <c r="F626" s="3" t="s">
        <v>942</v>
      </c>
      <c r="G626" s="3" t="s">
        <v>259</v>
      </c>
      <c r="H626" s="2" t="s">
        <v>65</v>
      </c>
      <c r="I626" s="2" t="s">
        <v>1774</v>
      </c>
      <c r="J626" s="3" t="str">
        <f>HYPERLINK("https://www.boe.es/gazeta/dias/1819/03/16/pdfs/GMD-1819-32.pdf#page=2","Abrir facsímil")</f>
        <v>Abrir facsímil</v>
      </c>
      <c r="K626" s="3" t="s">
        <v>67</v>
      </c>
    </row>
    <row r="627" spans="1:11" ht="42" customHeight="1">
      <c r="A627" s="2" t="s">
        <v>1775</v>
      </c>
      <c r="B627" s="2" t="s">
        <v>1776</v>
      </c>
      <c r="C627" s="2" t="s">
        <v>59</v>
      </c>
      <c r="D627" s="2" t="s">
        <v>18</v>
      </c>
      <c r="E627" s="5">
        <v>-29281</v>
      </c>
      <c r="F627" s="3" t="s">
        <v>19</v>
      </c>
      <c r="G627" s="3" t="s">
        <v>55</v>
      </c>
      <c r="H627" s="2" t="s">
        <v>21</v>
      </c>
      <c r="I627" s="2" t="s">
        <v>1777</v>
      </c>
      <c r="J627" s="3" t="str">
        <f>HYPERLINK("https://www.boe.es/gazeta/dias/1819/10/30/pdfs/GMD-1819-134.pdf#page=7","Abrir facsímil")</f>
        <v>Abrir facsímil</v>
      </c>
      <c r="K627" s="3" t="s">
        <v>23</v>
      </c>
    </row>
    <row r="628" spans="1:11" ht="42" customHeight="1">
      <c r="A628" s="2" t="s">
        <v>1778</v>
      </c>
      <c r="B628" s="2" t="s">
        <v>1779</v>
      </c>
      <c r="C628" s="2" t="s">
        <v>80</v>
      </c>
      <c r="D628" s="2" t="s">
        <v>81</v>
      </c>
      <c r="E628" s="5">
        <v>-29575</v>
      </c>
      <c r="F628" s="3" t="s">
        <v>77</v>
      </c>
      <c r="G628" s="3" t="s">
        <v>55</v>
      </c>
      <c r="H628" s="2" t="s">
        <v>65</v>
      </c>
      <c r="I628" s="2" t="s">
        <v>1780</v>
      </c>
      <c r="J628" s="3" t="str">
        <f>HYPERLINK("https://www.boe.es/gazeta/dias/1819/01/09/pdfs/GMD-1819-4.pdf#page=7","Abrir facsímil")</f>
        <v>Abrir facsímil</v>
      </c>
      <c r="K628" s="3" t="s">
        <v>67</v>
      </c>
    </row>
    <row r="629" spans="1:11" ht="42" customHeight="1">
      <c r="A629" s="2" t="s">
        <v>1781</v>
      </c>
      <c r="B629" s="2" t="s">
        <v>1782</v>
      </c>
      <c r="C629" s="2" t="s">
        <v>80</v>
      </c>
      <c r="D629" s="2" t="s">
        <v>81</v>
      </c>
      <c r="E629" s="5">
        <v>-29472</v>
      </c>
      <c r="F629" s="3" t="s">
        <v>393</v>
      </c>
      <c r="G629" s="3" t="s">
        <v>33</v>
      </c>
      <c r="H629" s="2" t="s">
        <v>65</v>
      </c>
      <c r="I629" s="2" t="s">
        <v>1783</v>
      </c>
      <c r="J629" s="3" t="str">
        <f>HYPERLINK("https://www.boe.es/gazeta/dias/1819/04/22/pdfs/GMD-1819-48.pdf#page=6","Abrir facsímil")</f>
        <v>Abrir facsímil</v>
      </c>
      <c r="K629" s="3" t="s">
        <v>67</v>
      </c>
    </row>
    <row r="630" spans="1:11" ht="42" customHeight="1">
      <c r="A630" s="2" t="s">
        <v>1784</v>
      </c>
      <c r="B630" s="2" t="s">
        <v>1785</v>
      </c>
      <c r="C630" s="2" t="s">
        <v>80</v>
      </c>
      <c r="D630" s="2" t="s">
        <v>81</v>
      </c>
      <c r="E630" s="5">
        <v>-29449</v>
      </c>
      <c r="F630" s="3" t="s">
        <v>771</v>
      </c>
      <c r="G630" s="3" t="s">
        <v>33</v>
      </c>
      <c r="H630" s="2" t="s">
        <v>65</v>
      </c>
      <c r="I630" s="2" t="s">
        <v>1786</v>
      </c>
      <c r="J630" s="3" t="str">
        <f>HYPERLINK("https://www.boe.es/gazeta/dias/1819/05/15/pdfs/GMD-1819-58.pdf#page=6","Abrir facsímil")</f>
        <v>Abrir facsímil</v>
      </c>
      <c r="K630" s="3" t="s">
        <v>67</v>
      </c>
    </row>
    <row r="631" spans="1:11" ht="42" customHeight="1">
      <c r="A631" s="2" t="s">
        <v>1787</v>
      </c>
      <c r="B631" s="2" t="s">
        <v>1788</v>
      </c>
      <c r="C631" s="2" t="s">
        <v>63</v>
      </c>
      <c r="D631" s="2" t="s">
        <v>43</v>
      </c>
      <c r="E631" s="5">
        <v>-29297</v>
      </c>
      <c r="F631" s="3" t="s">
        <v>82</v>
      </c>
      <c r="G631" s="3" t="s">
        <v>28</v>
      </c>
      <c r="H631" s="2" t="s">
        <v>65</v>
      </c>
      <c r="I631" s="2" t="s">
        <v>1789</v>
      </c>
      <c r="J631" s="3" t="str">
        <f>HYPERLINK("https://www.boe.es/gazeta/dias/1819/10/14/pdfs/GMD-1819-126.pdf#page=8","Abrir facsímil")</f>
        <v>Abrir facsímil</v>
      </c>
      <c r="K631" s="3" t="s">
        <v>67</v>
      </c>
    </row>
    <row r="632" spans="1:11" ht="42" customHeight="1">
      <c r="A632" s="2" t="s">
        <v>1787</v>
      </c>
      <c r="B632" s="2" t="s">
        <v>1788</v>
      </c>
      <c r="C632" s="2" t="s">
        <v>63</v>
      </c>
      <c r="D632" s="2" t="s">
        <v>43</v>
      </c>
      <c r="E632" s="5">
        <v>-29227</v>
      </c>
      <c r="F632" s="3" t="s">
        <v>98</v>
      </c>
      <c r="G632" s="3" t="s">
        <v>1790</v>
      </c>
      <c r="H632" s="2" t="s">
        <v>65</v>
      </c>
      <c r="I632" s="2" t="s">
        <v>1791</v>
      </c>
      <c r="J632" s="3" t="str">
        <f>HYPERLINK("https://www.boe.es/gazeta/dias/1819/12/23/pdfs/GMD-1819-157.pdf#page=8","Abrir facsímil")</f>
        <v>Abrir facsímil</v>
      </c>
      <c r="K632" s="3" t="s">
        <v>67</v>
      </c>
    </row>
    <row r="633" spans="1:11" ht="42" customHeight="1">
      <c r="A633" s="2" t="s">
        <v>1792</v>
      </c>
      <c r="B633" s="2" t="s">
        <v>1793</v>
      </c>
      <c r="C633" s="2" t="s">
        <v>80</v>
      </c>
      <c r="D633" s="2" t="s">
        <v>81</v>
      </c>
      <c r="E633" s="5">
        <v>-29264</v>
      </c>
      <c r="F633" s="3" t="s">
        <v>37</v>
      </c>
      <c r="G633" s="3" t="s">
        <v>1794</v>
      </c>
      <c r="H633" s="2" t="s">
        <v>65</v>
      </c>
      <c r="I633" s="2" t="s">
        <v>1795</v>
      </c>
      <c r="J633" s="3" t="str">
        <f>HYPERLINK("https://www.boe.es/gazeta/dias/1819/11/16/pdfs/GMD-1819-141.pdf#page=11","Abrir facsímil")</f>
        <v>Abrir facsímil</v>
      </c>
      <c r="K633" s="3" t="s">
        <v>67</v>
      </c>
    </row>
    <row r="634" spans="1:11" ht="42" customHeight="1">
      <c r="A634" s="2" t="s">
        <v>1796</v>
      </c>
      <c r="B634" s="2" t="s">
        <v>1797</v>
      </c>
      <c r="C634" s="2" t="s">
        <v>80</v>
      </c>
      <c r="D634" s="2" t="s">
        <v>81</v>
      </c>
      <c r="E634" s="5">
        <v>-29264</v>
      </c>
      <c r="F634" s="3" t="s">
        <v>37</v>
      </c>
      <c r="G634" s="3" t="s">
        <v>456</v>
      </c>
      <c r="H634" s="2" t="s">
        <v>65</v>
      </c>
      <c r="I634" s="2" t="s">
        <v>1798</v>
      </c>
      <c r="J634" s="3" t="str">
        <f>HYPERLINK("https://www.boe.es/gazeta/dias/1819/11/16/pdfs/GMD-1819-141.pdf#page=9","Abrir facsímil")</f>
        <v>Abrir facsímil</v>
      </c>
      <c r="K634" s="3" t="s">
        <v>67</v>
      </c>
    </row>
    <row r="635" spans="1:11" ht="42" customHeight="1">
      <c r="A635" s="2" t="s">
        <v>1799</v>
      </c>
      <c r="B635" s="2" t="s">
        <v>1800</v>
      </c>
      <c r="C635" s="2" t="s">
        <v>59</v>
      </c>
      <c r="D635" s="2" t="s">
        <v>454</v>
      </c>
      <c r="E635" s="5">
        <v>-29287</v>
      </c>
      <c r="F635" s="3" t="s">
        <v>455</v>
      </c>
      <c r="G635" s="3" t="s">
        <v>1113</v>
      </c>
      <c r="H635" s="2" t="s">
        <v>65</v>
      </c>
      <c r="I635" s="2" t="s">
        <v>1801</v>
      </c>
      <c r="J635" s="3" t="str">
        <f>HYPERLINK("https://www.boe.es/gazeta/dias/1819/10/24/pdfs/GMD-1819-131E.pdf#page=7","Abrir facsímil")</f>
        <v>Abrir facsímil</v>
      </c>
      <c r="K635" s="3" t="s">
        <v>67</v>
      </c>
    </row>
    <row r="636" spans="1:11" ht="42" customHeight="1">
      <c r="A636" s="2" t="s">
        <v>1802</v>
      </c>
      <c r="B636" s="2" t="s">
        <v>1803</v>
      </c>
      <c r="C636" s="2" t="s">
        <v>26</v>
      </c>
      <c r="D636" s="2" t="s">
        <v>18</v>
      </c>
      <c r="E636" s="5">
        <v>-29463</v>
      </c>
      <c r="F636" s="3" t="s">
        <v>114</v>
      </c>
      <c r="G636" s="3" t="s">
        <v>115</v>
      </c>
      <c r="H636" s="2" t="s">
        <v>65</v>
      </c>
      <c r="I636" s="2" t="s">
        <v>1804</v>
      </c>
      <c r="J636" s="3" t="str">
        <f>HYPERLINK("https://www.boe.es/gazeta/dias/1819/05/01/pdfs/GMD-1819-52.pdf#page=7","Abrir facsímil")</f>
        <v>Abrir facsímil</v>
      </c>
      <c r="K636" s="3" t="s">
        <v>67</v>
      </c>
    </row>
    <row r="637" spans="1:11" ht="42" customHeight="1">
      <c r="A637" s="2" t="s">
        <v>1805</v>
      </c>
      <c r="B637" s="2" t="s">
        <v>1805</v>
      </c>
      <c r="C637" s="2" t="s">
        <v>215</v>
      </c>
      <c r="D637" s="2" t="s">
        <v>18</v>
      </c>
      <c r="E637" s="5">
        <v>-29575</v>
      </c>
      <c r="F637" s="3" t="s">
        <v>77</v>
      </c>
      <c r="G637" s="3" t="s">
        <v>55</v>
      </c>
      <c r="H637" s="2" t="s">
        <v>65</v>
      </c>
      <c r="I637" s="2" t="s">
        <v>1806</v>
      </c>
      <c r="J637" s="3" t="str">
        <f>HYPERLINK("https://www.boe.es/gazeta/dias/1819/01/09/pdfs/GMD-1819-4.pdf#page=7","Abrir facsímil")</f>
        <v>Abrir facsímil</v>
      </c>
      <c r="K637" s="3" t="s">
        <v>67</v>
      </c>
    </row>
    <row r="638" spans="1:11" ht="42" customHeight="1">
      <c r="A638" s="2" t="s">
        <v>1807</v>
      </c>
      <c r="B638" s="2" t="s">
        <v>1808</v>
      </c>
      <c r="C638" s="2" t="s">
        <v>80</v>
      </c>
      <c r="D638" s="2" t="s">
        <v>81</v>
      </c>
      <c r="E638" s="5">
        <v>-29351</v>
      </c>
      <c r="F638" s="3" t="s">
        <v>101</v>
      </c>
      <c r="G638" s="3" t="s">
        <v>28</v>
      </c>
      <c r="H638" s="2" t="s">
        <v>21</v>
      </c>
      <c r="I638" s="2" t="s">
        <v>1809</v>
      </c>
      <c r="J638" s="3" t="str">
        <f>HYPERLINK("https://www.boe.es/gazeta/dias/1819/08/21/pdfs/GMD-1819-101.pdf#page=8","Abrir facsímil")</f>
        <v>Abrir facsímil</v>
      </c>
      <c r="K638" s="3" t="s">
        <v>23</v>
      </c>
    </row>
    <row r="639" spans="1:11" ht="42" customHeight="1">
      <c r="A639" s="2" t="s">
        <v>1807</v>
      </c>
      <c r="B639" s="2" t="s">
        <v>1808</v>
      </c>
      <c r="C639" s="2" t="s">
        <v>17</v>
      </c>
      <c r="D639" s="2" t="s">
        <v>18</v>
      </c>
      <c r="E639" s="5">
        <v>-29260</v>
      </c>
      <c r="F639" s="3" t="s">
        <v>93</v>
      </c>
      <c r="G639" s="3" t="s">
        <v>138</v>
      </c>
      <c r="H639" s="2" t="s">
        <v>21</v>
      </c>
      <c r="I639" s="2" t="s">
        <v>1810</v>
      </c>
      <c r="J639" s="3" t="str">
        <f>HYPERLINK("https://www.boe.es/gazeta/dias/1819/11/20/pdfs/GMD-1819-143.pdf#page=12","Abrir facsímil")</f>
        <v>Abrir facsímil</v>
      </c>
      <c r="K639" s="3" t="s">
        <v>23</v>
      </c>
    </row>
    <row r="640" spans="1:11" ht="42" customHeight="1">
      <c r="A640" s="2" t="s">
        <v>1811</v>
      </c>
      <c r="B640" s="2" t="s">
        <v>1811</v>
      </c>
      <c r="C640" s="2" t="s">
        <v>80</v>
      </c>
      <c r="D640" s="2" t="s">
        <v>81</v>
      </c>
      <c r="E640" s="5">
        <v>-29325</v>
      </c>
      <c r="F640" s="3" t="s">
        <v>174</v>
      </c>
      <c r="G640" s="3" t="s">
        <v>1812</v>
      </c>
      <c r="H640" s="2" t="s">
        <v>65</v>
      </c>
      <c r="I640" s="2" t="s">
        <v>1813</v>
      </c>
      <c r="J640" s="3" t="str">
        <f>HYPERLINK("https://www.boe.es/gazeta/dias/1819/09/16/pdfs/GMD-1819-113.pdf#page=4","Abrir facsímil")</f>
        <v>Abrir facsímil</v>
      </c>
      <c r="K640" s="3" t="s">
        <v>67</v>
      </c>
    </row>
    <row r="641" spans="1:11" ht="42" customHeight="1">
      <c r="A641" s="2" t="s">
        <v>1814</v>
      </c>
      <c r="B641" s="2" t="s">
        <v>1815</v>
      </c>
      <c r="C641" s="2" t="s">
        <v>80</v>
      </c>
      <c r="D641" s="2" t="s">
        <v>81</v>
      </c>
      <c r="E641" s="5">
        <v>-29369</v>
      </c>
      <c r="F641" s="3" t="s">
        <v>231</v>
      </c>
      <c r="G641" s="3" t="s">
        <v>232</v>
      </c>
      <c r="H641" s="2" t="s">
        <v>65</v>
      </c>
      <c r="I641" s="2" t="s">
        <v>1816</v>
      </c>
      <c r="J641" s="3" t="str">
        <f>HYPERLINK("https://www.boe.es/gazeta/dias/1819/08/03/pdfs/GMD-1819-93.pdf#page=5","Abrir facsímil")</f>
        <v>Abrir facsímil</v>
      </c>
      <c r="K641" s="3" t="s">
        <v>67</v>
      </c>
    </row>
    <row r="642" spans="1:11" ht="42" customHeight="1">
      <c r="A642" s="2" t="s">
        <v>1817</v>
      </c>
      <c r="B642" s="2" t="s">
        <v>1818</v>
      </c>
      <c r="C642" s="2" t="s">
        <v>59</v>
      </c>
      <c r="D642" s="2" t="s">
        <v>18</v>
      </c>
      <c r="E642" s="5">
        <v>-29425</v>
      </c>
      <c r="F642" s="3" t="s">
        <v>110</v>
      </c>
      <c r="G642" s="3" t="s">
        <v>55</v>
      </c>
      <c r="H642" s="2" t="s">
        <v>65</v>
      </c>
      <c r="I642" s="2" t="s">
        <v>1819</v>
      </c>
      <c r="J642" s="3" t="str">
        <f>HYPERLINK("https://www.boe.es/gazeta/dias/1819/06/08/pdfs/GMD-1819-68.pdf#page=7","Abrir facsímil")</f>
        <v>Abrir facsímil</v>
      </c>
      <c r="K642" s="3" t="s">
        <v>67</v>
      </c>
    </row>
    <row r="643" spans="1:11" ht="42" customHeight="1">
      <c r="A643" s="2" t="s">
        <v>1820</v>
      </c>
      <c r="B643" s="2" t="s">
        <v>1821</v>
      </c>
      <c r="C643" s="2" t="s">
        <v>80</v>
      </c>
      <c r="D643" s="2" t="s">
        <v>454</v>
      </c>
      <c r="E643" s="5">
        <v>-29287</v>
      </c>
      <c r="F643" s="3" t="s">
        <v>455</v>
      </c>
      <c r="G643" s="3" t="s">
        <v>481</v>
      </c>
      <c r="H643" s="2" t="s">
        <v>65</v>
      </c>
      <c r="I643" s="2" t="s">
        <v>1822</v>
      </c>
      <c r="J643" s="3" t="str">
        <f>HYPERLINK("https://www.boe.es/gazeta/dias/1819/10/24/pdfs/GMD-1819-131E.pdf#page=8","Abrir facsímil")</f>
        <v>Abrir facsímil</v>
      </c>
      <c r="K643" s="3" t="s">
        <v>67</v>
      </c>
    </row>
    <row r="644" spans="1:11" ht="42" customHeight="1">
      <c r="A644" s="2" t="s">
        <v>1823</v>
      </c>
      <c r="B644" s="2" t="s">
        <v>1824</v>
      </c>
      <c r="C644" s="2" t="s">
        <v>59</v>
      </c>
      <c r="D644" s="2" t="s">
        <v>18</v>
      </c>
      <c r="E644" s="5">
        <v>-29425</v>
      </c>
      <c r="F644" s="3" t="s">
        <v>110</v>
      </c>
      <c r="G644" s="3" t="s">
        <v>55</v>
      </c>
      <c r="H644" s="2" t="s">
        <v>65</v>
      </c>
      <c r="I644" s="2" t="s">
        <v>1825</v>
      </c>
      <c r="J644" s="3" t="str">
        <f>HYPERLINK("https://www.boe.es/gazeta/dias/1819/06/08/pdfs/GMD-1819-68.pdf#page=7","Abrir facsímil")</f>
        <v>Abrir facsímil</v>
      </c>
      <c r="K644" s="3" t="s">
        <v>67</v>
      </c>
    </row>
    <row r="645" spans="1:11" ht="42" customHeight="1">
      <c r="A645" s="2" t="s">
        <v>1826</v>
      </c>
      <c r="B645" s="2" t="s">
        <v>1827</v>
      </c>
      <c r="C645" s="2" t="s">
        <v>59</v>
      </c>
      <c r="D645" s="2" t="s">
        <v>18</v>
      </c>
      <c r="E645" s="5">
        <v>-29526</v>
      </c>
      <c r="F645" s="3" t="s">
        <v>307</v>
      </c>
      <c r="G645" s="3" t="s">
        <v>308</v>
      </c>
      <c r="H645" s="2" t="s">
        <v>65</v>
      </c>
      <c r="I645" s="2" t="s">
        <v>1828</v>
      </c>
      <c r="J645" s="3" t="str">
        <f>HYPERLINK("https://www.boe.es/gazeta/dias/1819/02/27/pdfs/GMD-1819-25.pdf#page=6","Abrir facsímil")</f>
        <v>Abrir facsímil</v>
      </c>
      <c r="K645" s="3" t="s">
        <v>67</v>
      </c>
    </row>
    <row r="646" spans="1:11" ht="42" customHeight="1">
      <c r="A646" s="2" t="s">
        <v>1829</v>
      </c>
      <c r="B646" s="2" t="s">
        <v>1830</v>
      </c>
      <c r="C646" s="2" t="s">
        <v>80</v>
      </c>
      <c r="D646" s="2" t="s">
        <v>81</v>
      </c>
      <c r="E646" s="5">
        <v>-29262</v>
      </c>
      <c r="F646" s="3" t="s">
        <v>1428</v>
      </c>
      <c r="G646" s="3" t="s">
        <v>33</v>
      </c>
      <c r="H646" s="2" t="s">
        <v>65</v>
      </c>
      <c r="I646" s="2" t="s">
        <v>1831</v>
      </c>
      <c r="J646" s="3" t="str">
        <f>HYPERLINK("https://www.boe.es/gazeta/dias/1819/11/18/pdfs/GMD-1819-142.pdf#page=6","Abrir facsímil")</f>
        <v>Abrir facsímil</v>
      </c>
      <c r="K646" s="3" t="s">
        <v>67</v>
      </c>
    </row>
    <row r="647" spans="1:11" ht="42" customHeight="1">
      <c r="A647" s="2" t="s">
        <v>1832</v>
      </c>
      <c r="B647" s="2" t="s">
        <v>1833</v>
      </c>
      <c r="C647" s="2" t="s">
        <v>215</v>
      </c>
      <c r="D647" s="2" t="s">
        <v>18</v>
      </c>
      <c r="E647" s="5">
        <v>-29558</v>
      </c>
      <c r="F647" s="3" t="s">
        <v>1463</v>
      </c>
      <c r="G647" s="3" t="s">
        <v>28</v>
      </c>
      <c r="H647" s="2" t="s">
        <v>65</v>
      </c>
      <c r="I647" s="2" t="s">
        <v>1834</v>
      </c>
      <c r="J647" s="3" t="str">
        <f>HYPERLINK("https://www.boe.es/gazeta/dias/1819/01/26/pdfs/GMD-1819-11.pdf#page=8","Abrir facsímil")</f>
        <v>Abrir facsímil</v>
      </c>
      <c r="K647" s="3" t="s">
        <v>67</v>
      </c>
    </row>
    <row r="648" spans="1:11" ht="42" customHeight="1">
      <c r="A648" s="2" t="s">
        <v>1835</v>
      </c>
      <c r="B648" s="2" t="s">
        <v>1836</v>
      </c>
      <c r="C648" s="2" t="s">
        <v>26</v>
      </c>
      <c r="D648" s="2" t="s">
        <v>454</v>
      </c>
      <c r="E648" s="5">
        <v>-29287</v>
      </c>
      <c r="F648" s="3" t="s">
        <v>455</v>
      </c>
      <c r="G648" s="3" t="s">
        <v>20</v>
      </c>
      <c r="H648" s="2" t="s">
        <v>65</v>
      </c>
      <c r="I648" s="2" t="s">
        <v>1837</v>
      </c>
      <c r="J648" s="3" t="str">
        <f>HYPERLINK("https://www.boe.es/gazeta/dias/1819/10/24/pdfs/GMD-1819-131E.pdf#page=10","Abrir facsímil")</f>
        <v>Abrir facsímil</v>
      </c>
      <c r="K648" s="3" t="s">
        <v>67</v>
      </c>
    </row>
    <row r="649" spans="1:11" ht="42" customHeight="1">
      <c r="A649" s="2" t="s">
        <v>1838</v>
      </c>
      <c r="B649" s="2" t="s">
        <v>1839</v>
      </c>
      <c r="C649" s="2" t="s">
        <v>63</v>
      </c>
      <c r="D649" s="2" t="s">
        <v>454</v>
      </c>
      <c r="E649" s="5">
        <v>-29287</v>
      </c>
      <c r="F649" s="3" t="s">
        <v>455</v>
      </c>
      <c r="G649" s="3" t="s">
        <v>481</v>
      </c>
      <c r="H649" s="2" t="s">
        <v>65</v>
      </c>
      <c r="I649" s="2" t="s">
        <v>1840</v>
      </c>
      <c r="J649" s="3" t="str">
        <f>HYPERLINK("https://www.boe.es/gazeta/dias/1819/10/24/pdfs/GMD-1819-131E.pdf#page=8","Abrir facsímil")</f>
        <v>Abrir facsímil</v>
      </c>
      <c r="K649" s="3" t="s">
        <v>67</v>
      </c>
    </row>
    <row r="650" spans="1:11" ht="42" customHeight="1">
      <c r="A650" s="2" t="s">
        <v>1841</v>
      </c>
      <c r="B650" s="2" t="s">
        <v>1842</v>
      </c>
      <c r="C650" s="2" t="s">
        <v>215</v>
      </c>
      <c r="D650" s="2" t="s">
        <v>18</v>
      </c>
      <c r="E650" s="5">
        <v>-29516</v>
      </c>
      <c r="F650" s="3" t="s">
        <v>137</v>
      </c>
      <c r="G650" s="3" t="s">
        <v>94</v>
      </c>
      <c r="H650" s="2" t="s">
        <v>65</v>
      </c>
      <c r="I650" s="2" t="s">
        <v>1843</v>
      </c>
      <c r="J650" s="3" t="str">
        <f>HYPERLINK("https://www.boe.es/gazeta/dias/1819/03/09/pdfs/GMD-1819-29.pdf#page=11","Abrir facsímil")</f>
        <v>Abrir facsímil</v>
      </c>
      <c r="K650" s="3" t="s">
        <v>67</v>
      </c>
    </row>
    <row r="651" spans="1:11" ht="42" customHeight="1">
      <c r="A651" s="2" t="s">
        <v>1844</v>
      </c>
      <c r="B651" s="2" t="s">
        <v>1844</v>
      </c>
      <c r="C651" s="2" t="s">
        <v>80</v>
      </c>
      <c r="D651" s="2" t="s">
        <v>81</v>
      </c>
      <c r="E651" s="5">
        <v>-29297</v>
      </c>
      <c r="F651" s="3" t="s">
        <v>82</v>
      </c>
      <c r="G651" s="3" t="s">
        <v>239</v>
      </c>
      <c r="H651" s="2" t="s">
        <v>65</v>
      </c>
      <c r="I651" s="2" t="s">
        <v>1845</v>
      </c>
      <c r="J651" s="3" t="str">
        <f>HYPERLINK("https://www.boe.es/gazeta/dias/1819/10/14/pdfs/GMD-1819-126.pdf#page=1","Abrir facsímil")</f>
        <v>Abrir facsímil</v>
      </c>
      <c r="K651" s="3" t="s">
        <v>67</v>
      </c>
    </row>
    <row r="652" spans="1:11" ht="42" customHeight="1">
      <c r="A652" s="2" t="s">
        <v>1846</v>
      </c>
      <c r="B652" s="2" t="s">
        <v>1847</v>
      </c>
      <c r="C652" s="2" t="s">
        <v>63</v>
      </c>
      <c r="D652" s="2" t="s">
        <v>43</v>
      </c>
      <c r="E652" s="5">
        <v>-29281</v>
      </c>
      <c r="F652" s="3" t="s">
        <v>19</v>
      </c>
      <c r="G652" s="3" t="s">
        <v>38</v>
      </c>
      <c r="H652" s="2" t="s">
        <v>65</v>
      </c>
      <c r="I652" s="2" t="s">
        <v>1848</v>
      </c>
      <c r="J652" s="3" t="str">
        <f>HYPERLINK("https://www.boe.es/gazeta/dias/1819/10/30/pdfs/GMD-1819-134.pdf#page=5","Abrir facsímil")</f>
        <v>Abrir facsímil</v>
      </c>
      <c r="K652" s="3" t="s">
        <v>67</v>
      </c>
    </row>
    <row r="653" spans="1:11" ht="42" customHeight="1">
      <c r="A653" s="2" t="s">
        <v>1849</v>
      </c>
      <c r="B653" s="2" t="s">
        <v>1850</v>
      </c>
      <c r="C653" s="2" t="s">
        <v>63</v>
      </c>
      <c r="D653" s="2" t="s">
        <v>43</v>
      </c>
      <c r="E653" s="5">
        <v>-29316</v>
      </c>
      <c r="F653" s="3" t="s">
        <v>166</v>
      </c>
      <c r="G653" s="3" t="s">
        <v>55</v>
      </c>
      <c r="H653" s="2" t="s">
        <v>65</v>
      </c>
      <c r="I653" s="2" t="s">
        <v>1851</v>
      </c>
      <c r="J653" s="3" t="str">
        <f>HYPERLINK("https://www.boe.es/gazeta/dias/1819/09/25/pdfs/GMD-1819-118.pdf#page=7","Abrir facsímil")</f>
        <v>Abrir facsímil</v>
      </c>
      <c r="K653" s="3" t="s">
        <v>67</v>
      </c>
    </row>
    <row r="654" spans="1:11" ht="42" customHeight="1">
      <c r="A654" s="2" t="s">
        <v>1852</v>
      </c>
      <c r="B654" s="2" t="s">
        <v>1853</v>
      </c>
      <c r="C654" s="2" t="s">
        <v>59</v>
      </c>
      <c r="D654" s="2" t="s">
        <v>18</v>
      </c>
      <c r="E654" s="5">
        <v>-29379</v>
      </c>
      <c r="F654" s="3" t="s">
        <v>161</v>
      </c>
      <c r="G654" s="3" t="s">
        <v>162</v>
      </c>
      <c r="H654" s="2" t="s">
        <v>65</v>
      </c>
      <c r="I654" s="2" t="s">
        <v>1854</v>
      </c>
      <c r="J654" s="3" t="str">
        <f>HYPERLINK("https://www.boe.es/gazeta/dias/1819/07/24/pdfs/GMD-1819-89.pdf#page=5","Abrir facsímil")</f>
        <v>Abrir facsímil</v>
      </c>
      <c r="K654" s="3" t="s">
        <v>67</v>
      </c>
    </row>
    <row r="655" spans="1:11" ht="42" customHeight="1">
      <c r="A655" s="2" t="s">
        <v>1855</v>
      </c>
      <c r="B655" s="2" t="s">
        <v>1855</v>
      </c>
      <c r="C655" s="2" t="s">
        <v>26</v>
      </c>
      <c r="D655" s="2" t="s">
        <v>18</v>
      </c>
      <c r="E655" s="5">
        <v>-29488</v>
      </c>
      <c r="F655" s="3" t="s">
        <v>27</v>
      </c>
      <c r="G655" s="3" t="s">
        <v>1856</v>
      </c>
      <c r="H655" s="2" t="s">
        <v>65</v>
      </c>
      <c r="I655" s="2" t="s">
        <v>1857</v>
      </c>
      <c r="J655" s="3" t="str">
        <f>HYPERLINK("https://www.boe.es/gazeta/dias/1819/04/06/pdfs/GMD-1819-41.pdf#page=2","Abrir facsímil")</f>
        <v>Abrir facsímil</v>
      </c>
      <c r="K655" s="3" t="s">
        <v>67</v>
      </c>
    </row>
    <row r="656" spans="1:11" ht="42" customHeight="1">
      <c r="A656" s="2" t="s">
        <v>1858</v>
      </c>
      <c r="B656" s="2" t="s">
        <v>1859</v>
      </c>
      <c r="C656" s="2" t="s">
        <v>17</v>
      </c>
      <c r="D656" s="2" t="s">
        <v>18</v>
      </c>
      <c r="E656" s="5">
        <v>-29316</v>
      </c>
      <c r="F656" s="3" t="s">
        <v>166</v>
      </c>
      <c r="G656" s="3" t="s">
        <v>33</v>
      </c>
      <c r="H656" s="2" t="s">
        <v>65</v>
      </c>
      <c r="I656" s="2" t="s">
        <v>1860</v>
      </c>
      <c r="J656" s="3" t="str">
        <f>HYPERLINK("https://www.boe.es/gazeta/dias/1819/09/25/pdfs/GMD-1819-118.pdf#page=6","Abrir facsímil")</f>
        <v>Abrir facsímil</v>
      </c>
      <c r="K656" s="3" t="s">
        <v>67</v>
      </c>
    </row>
    <row r="657" spans="1:11" ht="42" customHeight="1">
      <c r="A657" s="2" t="s">
        <v>1861</v>
      </c>
      <c r="B657" s="2" t="s">
        <v>1862</v>
      </c>
      <c r="C657" s="2" t="s">
        <v>26</v>
      </c>
      <c r="D657" s="2" t="s">
        <v>18</v>
      </c>
      <c r="E657" s="5">
        <v>-29285</v>
      </c>
      <c r="F657" s="3" t="s">
        <v>578</v>
      </c>
      <c r="G657" s="3" t="s">
        <v>28</v>
      </c>
      <c r="H657" s="2" t="s">
        <v>65</v>
      </c>
      <c r="I657" s="2" t="s">
        <v>1863</v>
      </c>
      <c r="J657" s="3" t="str">
        <f>HYPERLINK("https://www.boe.es/gazeta/dias/1819/10/26/pdfs/GMD-1819-132.pdf#page=8","Abrir facsímil")</f>
        <v>Abrir facsímil</v>
      </c>
      <c r="K657" s="3" t="s">
        <v>67</v>
      </c>
    </row>
    <row r="658" spans="1:11" ht="42" customHeight="1">
      <c r="A658" s="2" t="s">
        <v>1864</v>
      </c>
      <c r="B658" s="2" t="s">
        <v>1864</v>
      </c>
      <c r="C658" s="2" t="s">
        <v>63</v>
      </c>
      <c r="D658" s="2" t="s">
        <v>43</v>
      </c>
      <c r="E658" s="5">
        <v>-29344</v>
      </c>
      <c r="F658" s="3" t="s">
        <v>1865</v>
      </c>
      <c r="G658" s="3" t="s">
        <v>102</v>
      </c>
      <c r="H658" s="2" t="s">
        <v>65</v>
      </c>
      <c r="I658" s="2" t="s">
        <v>1866</v>
      </c>
      <c r="J658" s="3" t="str">
        <f>HYPERLINK("https://www.boe.es/gazeta/dias/1819/08/28/pdfs/GMD-1819-104.pdf#page=3","Abrir facsímil")</f>
        <v>Abrir facsímil</v>
      </c>
      <c r="K658" s="3" t="s">
        <v>67</v>
      </c>
    </row>
    <row r="659" spans="1:11" ht="42" customHeight="1">
      <c r="A659" s="2" t="s">
        <v>1867</v>
      </c>
      <c r="B659" s="2" t="s">
        <v>1867</v>
      </c>
      <c r="C659" s="2" t="s">
        <v>80</v>
      </c>
      <c r="D659" s="2" t="s">
        <v>81</v>
      </c>
      <c r="E659" s="5">
        <v>-29390</v>
      </c>
      <c r="F659" s="3" t="s">
        <v>263</v>
      </c>
      <c r="G659" s="3" t="s">
        <v>296</v>
      </c>
      <c r="H659" s="2" t="s">
        <v>65</v>
      </c>
      <c r="I659" s="2" t="s">
        <v>1868</v>
      </c>
      <c r="J659" s="3" t="str">
        <f>HYPERLINK("https://www.boe.es/gazeta/dias/1819/07/13/pdfs/GMD-1819-84.pdf#page=4","Abrir facsímil")</f>
        <v>Abrir facsímil</v>
      </c>
      <c r="K659" s="3" t="s">
        <v>67</v>
      </c>
    </row>
    <row r="660" spans="1:11" ht="42" customHeight="1">
      <c r="A660" s="2" t="s">
        <v>1869</v>
      </c>
      <c r="B660" s="2" t="s">
        <v>1870</v>
      </c>
      <c r="C660" s="2" t="s">
        <v>59</v>
      </c>
      <c r="D660" s="2" t="s">
        <v>18</v>
      </c>
      <c r="E660" s="5">
        <v>-29390</v>
      </c>
      <c r="F660" s="3" t="s">
        <v>263</v>
      </c>
      <c r="G660" s="3" t="s">
        <v>296</v>
      </c>
      <c r="H660" s="2" t="s">
        <v>65</v>
      </c>
      <c r="I660" s="2" t="s">
        <v>1871</v>
      </c>
      <c r="J660" s="3" t="str">
        <f>HYPERLINK("https://www.boe.es/gazeta/dias/1819/07/13/pdfs/GMD-1819-84.pdf#page=4","Abrir facsímil")</f>
        <v>Abrir facsímil</v>
      </c>
      <c r="K660" s="3" t="s">
        <v>67</v>
      </c>
    </row>
    <row r="661" spans="1:11" ht="42" customHeight="1">
      <c r="A661" s="2" t="s">
        <v>1869</v>
      </c>
      <c r="B661" s="2" t="s">
        <v>1870</v>
      </c>
      <c r="C661" s="2" t="s">
        <v>80</v>
      </c>
      <c r="D661" s="2" t="s">
        <v>81</v>
      </c>
      <c r="E661" s="5">
        <v>-29390</v>
      </c>
      <c r="F661" s="3" t="s">
        <v>263</v>
      </c>
      <c r="G661" s="3" t="s">
        <v>38</v>
      </c>
      <c r="H661" s="2" t="s">
        <v>65</v>
      </c>
      <c r="I661" s="2" t="s">
        <v>1872</v>
      </c>
      <c r="J661" s="3" t="str">
        <f>HYPERLINK("https://www.boe.es/gazeta/dias/1819/07/13/pdfs/GMD-1819-84.pdf#page=5","Abrir facsímil")</f>
        <v>Abrir facsímil</v>
      </c>
      <c r="K661" s="3" t="s">
        <v>67</v>
      </c>
    </row>
    <row r="662" spans="1:11" ht="42" customHeight="1">
      <c r="A662" s="2" t="s">
        <v>1873</v>
      </c>
      <c r="B662" s="2" t="s">
        <v>1874</v>
      </c>
      <c r="C662" s="2" t="s">
        <v>59</v>
      </c>
      <c r="D662" s="2" t="s">
        <v>18</v>
      </c>
      <c r="E662" s="5">
        <v>-29316</v>
      </c>
      <c r="F662" s="3" t="s">
        <v>166</v>
      </c>
      <c r="G662" s="3" t="s">
        <v>38</v>
      </c>
      <c r="H662" s="2" t="s">
        <v>65</v>
      </c>
      <c r="I662" s="2" t="s">
        <v>1875</v>
      </c>
      <c r="J662" s="3" t="str">
        <f>HYPERLINK("https://www.boe.es/gazeta/dias/1819/09/25/pdfs/GMD-1819-118.pdf#page=5","Abrir facsímil")</f>
        <v>Abrir facsímil</v>
      </c>
      <c r="K662" s="3" t="s">
        <v>67</v>
      </c>
    </row>
    <row r="663" spans="1:11" ht="42" customHeight="1">
      <c r="A663" s="2" t="s">
        <v>1876</v>
      </c>
      <c r="B663" s="2" t="s">
        <v>1877</v>
      </c>
      <c r="C663" s="2" t="s">
        <v>136</v>
      </c>
      <c r="D663" s="2" t="s">
        <v>18</v>
      </c>
      <c r="E663" s="5">
        <v>-29309</v>
      </c>
      <c r="F663" s="3" t="s">
        <v>476</v>
      </c>
      <c r="G663" s="3" t="s">
        <v>692</v>
      </c>
      <c r="H663" s="2" t="s">
        <v>65</v>
      </c>
      <c r="I663" s="2" t="s">
        <v>1878</v>
      </c>
      <c r="J663" s="3" t="str">
        <f>HYPERLINK("https://www.boe.es/gazeta/dias/1819/10/02/pdfs/GMD-1819-121.pdf#page=8","Abrir facsímil")</f>
        <v>Abrir facsímil</v>
      </c>
      <c r="K663" s="3" t="s">
        <v>67</v>
      </c>
    </row>
    <row r="664" spans="1:11" ht="42" customHeight="1">
      <c r="A664" s="2" t="s">
        <v>1879</v>
      </c>
      <c r="B664" s="2" t="s">
        <v>1880</v>
      </c>
      <c r="C664" s="2" t="s">
        <v>17</v>
      </c>
      <c r="D664" s="2" t="s">
        <v>18</v>
      </c>
      <c r="E664" s="5">
        <v>-29514</v>
      </c>
      <c r="F664" s="3" t="s">
        <v>595</v>
      </c>
      <c r="G664" s="3" t="s">
        <v>28</v>
      </c>
      <c r="H664" s="2" t="s">
        <v>65</v>
      </c>
      <c r="I664" s="2" t="s">
        <v>1881</v>
      </c>
      <c r="J664" s="3" t="str">
        <f>HYPERLINK("https://www.boe.es/gazeta/dias/1819/03/11/pdfs/GMD-1819-30.pdf#page=8","Abrir facsímil")</f>
        <v>Abrir facsímil</v>
      </c>
      <c r="K664" s="3" t="s">
        <v>67</v>
      </c>
    </row>
    <row r="665" spans="1:11" ht="42" customHeight="1">
      <c r="A665" s="2" t="s">
        <v>1882</v>
      </c>
      <c r="B665" s="2" t="s">
        <v>1883</v>
      </c>
      <c r="C665" s="2" t="s">
        <v>59</v>
      </c>
      <c r="D665" s="2" t="s">
        <v>18</v>
      </c>
      <c r="E665" s="5">
        <v>-29540</v>
      </c>
      <c r="F665" s="3" t="s">
        <v>154</v>
      </c>
      <c r="G665" s="3" t="s">
        <v>55</v>
      </c>
      <c r="H665" s="2" t="s">
        <v>65</v>
      </c>
      <c r="I665" s="2" t="s">
        <v>1884</v>
      </c>
      <c r="J665" s="3" t="str">
        <f>HYPERLINK("https://www.boe.es/gazeta/dias/1819/02/13/pdfs/GMD-1819-19.pdf#page=7","Abrir facsímil")</f>
        <v>Abrir facsímil</v>
      </c>
      <c r="K665" s="3" t="s">
        <v>67</v>
      </c>
    </row>
    <row r="666" spans="1:11" ht="42" customHeight="1">
      <c r="A666" s="2" t="s">
        <v>1885</v>
      </c>
      <c r="B666" s="2" t="s">
        <v>1886</v>
      </c>
      <c r="C666" s="2" t="s">
        <v>17</v>
      </c>
      <c r="D666" s="2" t="s">
        <v>18</v>
      </c>
      <c r="E666" s="5">
        <v>-29358</v>
      </c>
      <c r="F666" s="3" t="s">
        <v>170</v>
      </c>
      <c r="G666" s="3" t="s">
        <v>38</v>
      </c>
      <c r="H666" s="2" t="s">
        <v>65</v>
      </c>
      <c r="I666" s="2" t="s">
        <v>1887</v>
      </c>
      <c r="J666" s="3" t="str">
        <f>HYPERLINK("https://www.boe.es/gazeta/dias/1819/08/14/pdfs/GMD-1819-98.pdf#page=5","Abrir facsímil")</f>
        <v>Abrir facsímil</v>
      </c>
      <c r="K666" s="3" t="s">
        <v>67</v>
      </c>
    </row>
    <row r="667" spans="1:11" ht="42" customHeight="1">
      <c r="A667" s="2" t="s">
        <v>1888</v>
      </c>
      <c r="B667" s="2" t="s">
        <v>1888</v>
      </c>
      <c r="C667" s="2" t="s">
        <v>80</v>
      </c>
      <c r="D667" s="2" t="s">
        <v>81</v>
      </c>
      <c r="E667" s="5">
        <v>-29558</v>
      </c>
      <c r="F667" s="3" t="s">
        <v>1463</v>
      </c>
      <c r="G667" s="3" t="s">
        <v>28</v>
      </c>
      <c r="H667" s="2" t="s">
        <v>65</v>
      </c>
      <c r="I667" s="2" t="s">
        <v>1889</v>
      </c>
      <c r="J667" s="3" t="str">
        <f>HYPERLINK("https://www.boe.es/gazeta/dias/1819/01/26/pdfs/GMD-1819-11.pdf#page=8","Abrir facsímil")</f>
        <v>Abrir facsímil</v>
      </c>
      <c r="K667" s="3" t="s">
        <v>67</v>
      </c>
    </row>
    <row r="668" spans="1:11" ht="42" customHeight="1">
      <c r="A668" s="2" t="s">
        <v>1890</v>
      </c>
      <c r="B668" s="2" t="s">
        <v>1891</v>
      </c>
      <c r="C668" s="2" t="s">
        <v>136</v>
      </c>
      <c r="D668" s="2" t="s">
        <v>18</v>
      </c>
      <c r="E668" s="5">
        <v>-29479</v>
      </c>
      <c r="F668" s="3" t="s">
        <v>979</v>
      </c>
      <c r="G668" s="3" t="s">
        <v>33</v>
      </c>
      <c r="H668" s="2" t="s">
        <v>21</v>
      </c>
      <c r="I668" s="2" t="s">
        <v>1892</v>
      </c>
      <c r="J668" s="3" t="str">
        <f>HYPERLINK("https://www.boe.es/gazeta/dias/1819/04/15/pdfs/GMD-1819-45.pdf#page=6","Abrir facsímil")</f>
        <v>Abrir facsímil</v>
      </c>
      <c r="K668" s="3" t="s">
        <v>23</v>
      </c>
    </row>
    <row r="669" spans="1:11" ht="42" customHeight="1">
      <c r="A669" s="2" t="s">
        <v>1893</v>
      </c>
      <c r="B669" s="2" t="s">
        <v>1893</v>
      </c>
      <c r="C669" s="2" t="s">
        <v>26</v>
      </c>
      <c r="D669" s="2" t="s">
        <v>18</v>
      </c>
      <c r="E669" s="5">
        <v>-29267</v>
      </c>
      <c r="F669" s="3" t="s">
        <v>370</v>
      </c>
      <c r="G669" s="3" t="s">
        <v>33</v>
      </c>
      <c r="H669" s="2" t="s">
        <v>65</v>
      </c>
      <c r="I669" s="2" t="s">
        <v>1894</v>
      </c>
      <c r="J669" s="3" t="str">
        <f>HYPERLINK("https://www.boe.es/gazeta/dias/1819/11/13/pdfs/GMD-1819-140.pdf#page=6","Abrir facsímil")</f>
        <v>Abrir facsímil</v>
      </c>
      <c r="K669" s="3" t="s">
        <v>67</v>
      </c>
    </row>
    <row r="670" spans="1:11" ht="42" customHeight="1">
      <c r="A670" s="2" t="s">
        <v>1895</v>
      </c>
      <c r="B670" s="2" t="s">
        <v>1896</v>
      </c>
      <c r="C670" s="2" t="s">
        <v>80</v>
      </c>
      <c r="D670" s="2" t="s">
        <v>81</v>
      </c>
      <c r="E670" s="5">
        <v>-29297</v>
      </c>
      <c r="F670" s="3" t="s">
        <v>82</v>
      </c>
      <c r="G670" s="3" t="s">
        <v>33</v>
      </c>
      <c r="H670" s="2" t="s">
        <v>65</v>
      </c>
      <c r="I670" s="2" t="s">
        <v>1897</v>
      </c>
      <c r="J670" s="3" t="str">
        <f>HYPERLINK("https://www.boe.es/gazeta/dias/1819/10/14/pdfs/GMD-1819-126.pdf#page=6","Abrir facsímil")</f>
        <v>Abrir facsímil</v>
      </c>
      <c r="K670" s="3" t="s">
        <v>67</v>
      </c>
    </row>
    <row r="671" spans="1:11" ht="42" customHeight="1">
      <c r="A671" s="2" t="s">
        <v>1898</v>
      </c>
      <c r="B671" s="2" t="s">
        <v>1899</v>
      </c>
      <c r="C671" s="2" t="s">
        <v>246</v>
      </c>
      <c r="D671" s="2" t="s">
        <v>18</v>
      </c>
      <c r="E671" s="5">
        <v>-29444</v>
      </c>
      <c r="F671" s="3" t="s">
        <v>258</v>
      </c>
      <c r="G671" s="3" t="s">
        <v>239</v>
      </c>
      <c r="H671" s="2" t="s">
        <v>65</v>
      </c>
      <c r="I671" s="2" t="s">
        <v>1900</v>
      </c>
      <c r="J671" s="3" t="str">
        <f>HYPERLINK("https://www.boe.es/gazeta/dias/1819/05/20/pdfs/GMD-1819-60.pdf#page=1","Abrir facsímil")</f>
        <v>Abrir facsímil</v>
      </c>
      <c r="K671" s="3" t="s">
        <v>67</v>
      </c>
    </row>
    <row r="672" spans="1:11" ht="42" customHeight="1">
      <c r="A672" s="2" t="s">
        <v>1901</v>
      </c>
      <c r="B672" s="2" t="s">
        <v>1901</v>
      </c>
      <c r="C672" s="2" t="s">
        <v>136</v>
      </c>
      <c r="D672" s="2" t="s">
        <v>18</v>
      </c>
      <c r="E672" s="5">
        <v>-29330</v>
      </c>
      <c r="F672" s="3" t="s">
        <v>1406</v>
      </c>
      <c r="G672" s="3" t="s">
        <v>28</v>
      </c>
      <c r="H672" s="2" t="s">
        <v>65</v>
      </c>
      <c r="I672" s="2" t="s">
        <v>1902</v>
      </c>
      <c r="J672" s="3" t="str">
        <f>HYPERLINK("https://www.boe.es/gazeta/dias/1819/09/11/pdfs/GMD-1819-111.pdf#page=8","Abrir facsímil")</f>
        <v>Abrir facsímil</v>
      </c>
      <c r="K672" s="3" t="s">
        <v>67</v>
      </c>
    </row>
    <row r="673" spans="1:11" ht="42" customHeight="1">
      <c r="A673" s="2" t="s">
        <v>1903</v>
      </c>
      <c r="B673" s="2" t="s">
        <v>1903</v>
      </c>
      <c r="C673" s="2" t="s">
        <v>246</v>
      </c>
      <c r="D673" s="2" t="s">
        <v>18</v>
      </c>
      <c r="E673" s="5">
        <v>-29453</v>
      </c>
      <c r="F673" s="3" t="s">
        <v>768</v>
      </c>
      <c r="G673" s="3" t="s">
        <v>239</v>
      </c>
      <c r="H673" s="2" t="s">
        <v>65</v>
      </c>
      <c r="I673" s="2" t="s">
        <v>1904</v>
      </c>
      <c r="J673" s="3" t="str">
        <f>HYPERLINK("https://www.boe.es/gazeta/dias/1819/05/11/pdfs/GMD-1819-56.pdf#page=1","Abrir facsímil")</f>
        <v>Abrir facsímil</v>
      </c>
      <c r="K673" s="3" t="s">
        <v>67</v>
      </c>
    </row>
    <row r="674" spans="1:11" ht="42" customHeight="1">
      <c r="A674" s="2" t="s">
        <v>1905</v>
      </c>
      <c r="B674" s="2" t="s">
        <v>1905</v>
      </c>
      <c r="C674" s="2" t="s">
        <v>215</v>
      </c>
      <c r="D674" s="2" t="s">
        <v>18</v>
      </c>
      <c r="E674" s="5">
        <v>-29236</v>
      </c>
      <c r="F674" s="3" t="s">
        <v>379</v>
      </c>
      <c r="G674" s="3" t="s">
        <v>102</v>
      </c>
      <c r="H674" s="2" t="s">
        <v>65</v>
      </c>
      <c r="I674" s="2" t="s">
        <v>1906</v>
      </c>
      <c r="J674" s="3" t="str">
        <f>HYPERLINK("https://www.boe.es/gazeta/dias/1819/12/14/pdfs/GMD-1819-153.pdf#page=3","Abrir facsímil")</f>
        <v>Abrir facsímil</v>
      </c>
      <c r="K674" s="3" t="s">
        <v>67</v>
      </c>
    </row>
    <row r="675" spans="1:11" ht="42" customHeight="1">
      <c r="A675" s="2" t="s">
        <v>1907</v>
      </c>
      <c r="B675" s="2" t="s">
        <v>1908</v>
      </c>
      <c r="C675" s="2" t="s">
        <v>80</v>
      </c>
      <c r="D675" s="2" t="s">
        <v>454</v>
      </c>
      <c r="E675" s="5">
        <v>-29287</v>
      </c>
      <c r="F675" s="3" t="s">
        <v>455</v>
      </c>
      <c r="G675" s="3" t="s">
        <v>456</v>
      </c>
      <c r="H675" s="2" t="s">
        <v>21</v>
      </c>
      <c r="I675" s="2" t="s">
        <v>1909</v>
      </c>
      <c r="J675" s="3" t="str">
        <f>HYPERLINK("https://www.boe.es/gazeta/dias/1819/10/24/pdfs/GMD-1819-131E.pdf#page=9","Abrir facsímil")</f>
        <v>Abrir facsímil</v>
      </c>
      <c r="K675" s="3" t="s">
        <v>23</v>
      </c>
    </row>
    <row r="676" spans="1:11" ht="42" customHeight="1">
      <c r="A676" s="2" t="s">
        <v>1910</v>
      </c>
      <c r="B676" s="2" t="s">
        <v>1911</v>
      </c>
      <c r="C676" s="2" t="s">
        <v>59</v>
      </c>
      <c r="D676" s="2" t="s">
        <v>18</v>
      </c>
      <c r="E676" s="5">
        <v>-29379</v>
      </c>
      <c r="F676" s="3" t="s">
        <v>161</v>
      </c>
      <c r="G676" s="3" t="s">
        <v>162</v>
      </c>
      <c r="H676" s="2" t="s">
        <v>65</v>
      </c>
      <c r="I676" s="2" t="s">
        <v>1912</v>
      </c>
      <c r="J676" s="3" t="str">
        <f>HYPERLINK("https://www.boe.es/gazeta/dias/1819/07/24/pdfs/GMD-1819-89.pdf#page=5","Abrir facsímil")</f>
        <v>Abrir facsímil</v>
      </c>
      <c r="K676" s="3" t="s">
        <v>67</v>
      </c>
    </row>
    <row r="677" spans="1:11" ht="42" customHeight="1">
      <c r="A677" s="2" t="s">
        <v>1913</v>
      </c>
      <c r="B677" s="2" t="s">
        <v>1914</v>
      </c>
      <c r="C677" s="2" t="s">
        <v>136</v>
      </c>
      <c r="D677" s="2" t="s">
        <v>18</v>
      </c>
      <c r="E677" s="5">
        <v>-29582</v>
      </c>
      <c r="F677" s="3" t="s">
        <v>376</v>
      </c>
      <c r="G677" s="3" t="s">
        <v>702</v>
      </c>
      <c r="H677" s="2" t="s">
        <v>21</v>
      </c>
      <c r="I677" s="2" t="s">
        <v>1915</v>
      </c>
      <c r="J677" s="3" t="str">
        <f>HYPERLINK("https://www.boe.es/gazeta/dias/1819/01/02/pdfs/GMD-1819-1.pdf#page=7","Abrir facsímil")</f>
        <v>Abrir facsímil</v>
      </c>
      <c r="K677" s="3" t="s">
        <v>23</v>
      </c>
    </row>
    <row r="678" spans="1:11" ht="42" customHeight="1">
      <c r="A678" s="2" t="s">
        <v>1916</v>
      </c>
      <c r="B678" s="2" t="s">
        <v>1917</v>
      </c>
      <c r="C678" s="2" t="s">
        <v>63</v>
      </c>
      <c r="D678" s="2" t="s">
        <v>43</v>
      </c>
      <c r="E678" s="5">
        <v>-29414</v>
      </c>
      <c r="F678" s="3" t="s">
        <v>732</v>
      </c>
      <c r="G678" s="3" t="s">
        <v>28</v>
      </c>
      <c r="H678" s="2" t="s">
        <v>65</v>
      </c>
      <c r="I678" s="2" t="s">
        <v>1918</v>
      </c>
      <c r="J678" s="3" t="str">
        <f>HYPERLINK("https://www.boe.es/gazeta/dias/1819/06/19/pdfs/GMD-1819-74.pdf#page=8","Abrir facsímil")</f>
        <v>Abrir facsímil</v>
      </c>
      <c r="K678" s="3" t="s">
        <v>67</v>
      </c>
    </row>
    <row r="679" spans="1:11" ht="42" customHeight="1">
      <c r="A679" s="2" t="s">
        <v>1919</v>
      </c>
      <c r="B679" s="2" t="s">
        <v>1919</v>
      </c>
      <c r="C679" s="2" t="s">
        <v>80</v>
      </c>
      <c r="D679" s="2" t="s">
        <v>81</v>
      </c>
      <c r="E679" s="5">
        <v>-29493</v>
      </c>
      <c r="F679" s="3" t="s">
        <v>404</v>
      </c>
      <c r="G679" s="3" t="s">
        <v>259</v>
      </c>
      <c r="H679" s="2" t="s">
        <v>65</v>
      </c>
      <c r="I679" s="2" t="s">
        <v>1920</v>
      </c>
      <c r="J679" s="3" t="str">
        <f>HYPERLINK("https://www.boe.es/gazeta/dias/1819/04/01/pdfs/GMD-1819-39.pdf#page=2","Abrir facsímil")</f>
        <v>Abrir facsímil</v>
      </c>
      <c r="K679" s="3" t="s">
        <v>67</v>
      </c>
    </row>
    <row r="680" spans="1:11" ht="42" customHeight="1">
      <c r="A680" s="2" t="s">
        <v>1921</v>
      </c>
      <c r="B680" s="2" t="s">
        <v>1921</v>
      </c>
      <c r="C680" s="2" t="s">
        <v>59</v>
      </c>
      <c r="D680" s="2" t="s">
        <v>18</v>
      </c>
      <c r="E680" s="5">
        <v>-29472</v>
      </c>
      <c r="F680" s="3" t="s">
        <v>393</v>
      </c>
      <c r="G680" s="3" t="s">
        <v>55</v>
      </c>
      <c r="H680" s="2" t="s">
        <v>65</v>
      </c>
      <c r="I680" s="2" t="s">
        <v>1922</v>
      </c>
      <c r="J680" s="3" t="str">
        <f>HYPERLINK("https://www.boe.es/gazeta/dias/1819/04/22/pdfs/GMD-1819-48.pdf#page=7","Abrir facsímil")</f>
        <v>Abrir facsímil</v>
      </c>
      <c r="K680" s="3" t="s">
        <v>67</v>
      </c>
    </row>
    <row r="681" spans="1:11" ht="42" customHeight="1">
      <c r="A681" s="2" t="s">
        <v>1923</v>
      </c>
      <c r="B681" s="2" t="s">
        <v>1923</v>
      </c>
      <c r="C681" s="2" t="s">
        <v>63</v>
      </c>
      <c r="D681" s="2" t="s">
        <v>43</v>
      </c>
      <c r="E681" s="5">
        <v>-29577</v>
      </c>
      <c r="F681" s="3" t="s">
        <v>1008</v>
      </c>
      <c r="G681" s="3" t="s">
        <v>33</v>
      </c>
      <c r="H681" s="2" t="s">
        <v>65</v>
      </c>
      <c r="I681" s="2" t="s">
        <v>1924</v>
      </c>
      <c r="J681" s="3" t="str">
        <f>HYPERLINK("https://www.boe.es/gazeta/dias/1819/01/07/pdfs/GMD-1819-3.pdf#page=6","Abrir facsímil")</f>
        <v>Abrir facsímil</v>
      </c>
      <c r="K681" s="3" t="s">
        <v>67</v>
      </c>
    </row>
    <row r="682" spans="1:11" ht="42" customHeight="1">
      <c r="A682" s="2" t="s">
        <v>1925</v>
      </c>
      <c r="B682" s="2" t="s">
        <v>1925</v>
      </c>
      <c r="C682" s="2" t="s">
        <v>59</v>
      </c>
      <c r="D682" s="2" t="s">
        <v>18</v>
      </c>
      <c r="E682" s="5">
        <v>-29549</v>
      </c>
      <c r="F682" s="3" t="s">
        <v>124</v>
      </c>
      <c r="G682" s="3" t="s">
        <v>28</v>
      </c>
      <c r="H682" s="2" t="s">
        <v>65</v>
      </c>
      <c r="I682" s="2" t="s">
        <v>1926</v>
      </c>
      <c r="J682" s="3" t="str">
        <f>HYPERLINK("https://www.boe.es/gazeta/dias/1819/02/04/pdfs/GMD-1819-15.pdf#page=8","Abrir facsímil")</f>
        <v>Abrir facsímil</v>
      </c>
      <c r="K682" s="3" t="s">
        <v>67</v>
      </c>
    </row>
    <row r="683" spans="1:11" ht="42" customHeight="1">
      <c r="A683" s="2" t="s">
        <v>1923</v>
      </c>
      <c r="B683" s="2" t="s">
        <v>1923</v>
      </c>
      <c r="C683" s="2" t="s">
        <v>80</v>
      </c>
      <c r="D683" s="2" t="s">
        <v>81</v>
      </c>
      <c r="E683" s="5">
        <v>-29533</v>
      </c>
      <c r="F683" s="3" t="s">
        <v>280</v>
      </c>
      <c r="G683" s="3" t="s">
        <v>28</v>
      </c>
      <c r="H683" s="2" t="s">
        <v>65</v>
      </c>
      <c r="I683" s="2" t="s">
        <v>1927</v>
      </c>
      <c r="J683" s="3" t="str">
        <f>HYPERLINK("https://www.boe.es/gazeta/dias/1819/02/20/pdfs/GMD-1819-22.pdf#page=8","Abrir facsímil")</f>
        <v>Abrir facsímil</v>
      </c>
      <c r="K683" s="3" t="s">
        <v>67</v>
      </c>
    </row>
    <row r="684" spans="1:11" ht="42" customHeight="1">
      <c r="A684" s="2" t="s">
        <v>1923</v>
      </c>
      <c r="B684" s="2" t="s">
        <v>1923</v>
      </c>
      <c r="C684" s="2" t="s">
        <v>136</v>
      </c>
      <c r="D684" s="2" t="s">
        <v>18</v>
      </c>
      <c r="E684" s="5">
        <v>-29507</v>
      </c>
      <c r="F684" s="3" t="s">
        <v>1928</v>
      </c>
      <c r="G684" s="3" t="s">
        <v>55</v>
      </c>
      <c r="H684" s="2" t="s">
        <v>65</v>
      </c>
      <c r="I684" s="2" t="s">
        <v>1929</v>
      </c>
      <c r="J684" s="3" t="str">
        <f>HYPERLINK("https://www.boe.es/gazeta/dias/1819/03/18/pdfs/GMD-1819-33.pdf#page=7","Abrir facsímil")</f>
        <v>Abrir facsímil</v>
      </c>
      <c r="K684" s="3" t="s">
        <v>67</v>
      </c>
    </row>
    <row r="685" spans="1:11" ht="42" customHeight="1">
      <c r="A685" s="2" t="s">
        <v>1925</v>
      </c>
      <c r="B685" s="2" t="s">
        <v>1925</v>
      </c>
      <c r="C685" s="2" t="s">
        <v>59</v>
      </c>
      <c r="D685" s="2" t="s">
        <v>18</v>
      </c>
      <c r="E685" s="5">
        <v>-29495</v>
      </c>
      <c r="F685" s="3" t="s">
        <v>992</v>
      </c>
      <c r="G685" s="3" t="s">
        <v>28</v>
      </c>
      <c r="H685" s="2" t="s">
        <v>65</v>
      </c>
      <c r="I685" s="2" t="s">
        <v>1930</v>
      </c>
      <c r="J685" s="3" t="str">
        <f>HYPERLINK("https://www.boe.es/gazeta/dias/1819/03/30/pdfs/GMD-1819-38.pdf#page=8","Abrir facsímil")</f>
        <v>Abrir facsímil</v>
      </c>
      <c r="K685" s="3" t="s">
        <v>67</v>
      </c>
    </row>
    <row r="686" spans="1:11" ht="42" customHeight="1">
      <c r="A686" s="2" t="s">
        <v>1925</v>
      </c>
      <c r="B686" s="2" t="s">
        <v>1925</v>
      </c>
      <c r="C686" s="2" t="s">
        <v>80</v>
      </c>
      <c r="D686" s="2" t="s">
        <v>81</v>
      </c>
      <c r="E686" s="5">
        <v>-29493</v>
      </c>
      <c r="F686" s="3" t="s">
        <v>404</v>
      </c>
      <c r="G686" s="3" t="s">
        <v>38</v>
      </c>
      <c r="H686" s="2" t="s">
        <v>65</v>
      </c>
      <c r="I686" s="2" t="s">
        <v>1931</v>
      </c>
      <c r="J686" s="3" t="str">
        <f>HYPERLINK("https://www.boe.es/gazeta/dias/1819/04/01/pdfs/GMD-1819-39.pdf#page=5","Abrir facsímil")</f>
        <v>Abrir facsímil</v>
      </c>
      <c r="K686" s="3" t="s">
        <v>67</v>
      </c>
    </row>
    <row r="687" spans="1:11" ht="42" customHeight="1">
      <c r="A687" s="2" t="s">
        <v>1925</v>
      </c>
      <c r="B687" s="2" t="s">
        <v>1925</v>
      </c>
      <c r="C687" s="2" t="s">
        <v>80</v>
      </c>
      <c r="D687" s="2" t="s">
        <v>81</v>
      </c>
      <c r="E687" s="5">
        <v>-29477</v>
      </c>
      <c r="F687" s="3" t="s">
        <v>789</v>
      </c>
      <c r="G687" s="3" t="s">
        <v>55</v>
      </c>
      <c r="H687" s="2" t="s">
        <v>65</v>
      </c>
      <c r="I687" s="2" t="s">
        <v>1932</v>
      </c>
      <c r="J687" s="3" t="str">
        <f>HYPERLINK("https://www.boe.es/gazeta/dias/1819/04/17/pdfs/GMD-1819-46.pdf#page=7","Abrir facsímil")</f>
        <v>Abrir facsímil</v>
      </c>
      <c r="K687" s="3" t="s">
        <v>67</v>
      </c>
    </row>
    <row r="688" spans="1:11" ht="42" customHeight="1">
      <c r="A688" s="2" t="s">
        <v>1923</v>
      </c>
      <c r="B688" s="2" t="s">
        <v>1923</v>
      </c>
      <c r="C688" s="2" t="s">
        <v>26</v>
      </c>
      <c r="D688" s="2" t="s">
        <v>18</v>
      </c>
      <c r="E688" s="5">
        <v>-29467</v>
      </c>
      <c r="F688" s="3" t="s">
        <v>1712</v>
      </c>
      <c r="G688" s="3" t="s">
        <v>28</v>
      </c>
      <c r="H688" s="2" t="s">
        <v>65</v>
      </c>
      <c r="I688" s="2" t="s">
        <v>1933</v>
      </c>
      <c r="J688" s="3" t="str">
        <f>HYPERLINK("https://www.boe.es/gazeta/dias/1819/04/27/pdfs/GMD-1819-50.pdf#page=8","Abrir facsímil")</f>
        <v>Abrir facsímil</v>
      </c>
      <c r="K688" s="3" t="s">
        <v>67</v>
      </c>
    </row>
    <row r="689" spans="1:11" ht="42" customHeight="1">
      <c r="A689" s="2" t="s">
        <v>1925</v>
      </c>
      <c r="B689" s="2" t="s">
        <v>1925</v>
      </c>
      <c r="C689" s="2" t="s">
        <v>80</v>
      </c>
      <c r="D689" s="2" t="s">
        <v>81</v>
      </c>
      <c r="E689" s="5">
        <v>-29465</v>
      </c>
      <c r="F689" s="3" t="s">
        <v>1934</v>
      </c>
      <c r="G689" s="3" t="s">
        <v>1935</v>
      </c>
      <c r="H689" s="2" t="s">
        <v>65</v>
      </c>
      <c r="I689" s="2" t="s">
        <v>1936</v>
      </c>
      <c r="J689" s="3" t="str">
        <f>HYPERLINK("https://www.boe.es/gazeta/dias/1819/04/29/pdfs/GMD-1819-51.pdf#page=7","Abrir facsímil")</f>
        <v>Abrir facsímil</v>
      </c>
      <c r="K689" s="3" t="s">
        <v>67</v>
      </c>
    </row>
    <row r="690" spans="1:11" ht="42" customHeight="1">
      <c r="A690" s="2" t="s">
        <v>1923</v>
      </c>
      <c r="B690" s="2" t="s">
        <v>1923</v>
      </c>
      <c r="C690" s="2" t="s">
        <v>136</v>
      </c>
      <c r="D690" s="2" t="s">
        <v>18</v>
      </c>
      <c r="E690" s="5">
        <v>-29439</v>
      </c>
      <c r="F690" s="3" t="s">
        <v>1101</v>
      </c>
      <c r="G690" s="3" t="s">
        <v>239</v>
      </c>
      <c r="H690" s="2" t="s">
        <v>65</v>
      </c>
      <c r="I690" s="2" t="s">
        <v>1937</v>
      </c>
      <c r="J690" s="3" t="str">
        <f>HYPERLINK("https://www.boe.es/gazeta/dias/1819/05/25/pdfs/GMD-1819-62.pdf#page=1","Abrir facsímil")</f>
        <v>Abrir facsímil</v>
      </c>
      <c r="K690" s="3" t="s">
        <v>67</v>
      </c>
    </row>
    <row r="691" spans="1:11" ht="42" customHeight="1">
      <c r="A691" s="2" t="s">
        <v>1923</v>
      </c>
      <c r="B691" s="2" t="s">
        <v>1923</v>
      </c>
      <c r="C691" s="2" t="s">
        <v>59</v>
      </c>
      <c r="D691" s="2" t="s">
        <v>454</v>
      </c>
      <c r="E691" s="5">
        <v>-29419</v>
      </c>
      <c r="F691" s="3" t="s">
        <v>1491</v>
      </c>
      <c r="G691" s="3" t="s">
        <v>296</v>
      </c>
      <c r="H691" s="2" t="s">
        <v>65</v>
      </c>
      <c r="I691" s="2" t="s">
        <v>1938</v>
      </c>
      <c r="J691" s="3" t="str">
        <f>HYPERLINK("https://www.boe.es/gazeta/dias/1819/06/14/pdfs/GMD-1819-71E.pdf#page=4","Abrir facsímil")</f>
        <v>Abrir facsímil</v>
      </c>
      <c r="K691" s="3" t="s">
        <v>67</v>
      </c>
    </row>
    <row r="692" spans="1:11" ht="42" customHeight="1">
      <c r="A692" s="2" t="s">
        <v>1925</v>
      </c>
      <c r="B692" s="2" t="s">
        <v>1925</v>
      </c>
      <c r="C692" s="2" t="s">
        <v>80</v>
      </c>
      <c r="D692" s="2" t="s">
        <v>81</v>
      </c>
      <c r="E692" s="5">
        <v>-29404</v>
      </c>
      <c r="F692" s="3" t="s">
        <v>1939</v>
      </c>
      <c r="G692" s="3" t="s">
        <v>55</v>
      </c>
      <c r="H692" s="2" t="s">
        <v>65</v>
      </c>
      <c r="I692" s="2" t="s">
        <v>1940</v>
      </c>
      <c r="J692" s="3" t="str">
        <f>HYPERLINK("https://www.boe.es/gazeta/dias/1819/06/29/pdfs/GMD-1819-78.pdf#page=7","Abrir facsímil")</f>
        <v>Abrir facsímil</v>
      </c>
      <c r="K692" s="3" t="s">
        <v>67</v>
      </c>
    </row>
    <row r="693" spans="1:11" ht="42" customHeight="1">
      <c r="A693" s="2" t="s">
        <v>1925</v>
      </c>
      <c r="B693" s="2" t="s">
        <v>1925</v>
      </c>
      <c r="C693" s="2" t="s">
        <v>26</v>
      </c>
      <c r="D693" s="2" t="s">
        <v>18</v>
      </c>
      <c r="E693" s="5">
        <v>-29374</v>
      </c>
      <c r="F693" s="3" t="s">
        <v>204</v>
      </c>
      <c r="G693" s="3" t="s">
        <v>296</v>
      </c>
      <c r="H693" s="2" t="s">
        <v>65</v>
      </c>
      <c r="I693" s="2" t="s">
        <v>1941</v>
      </c>
      <c r="J693" s="3" t="str">
        <f>HYPERLINK("https://www.boe.es/gazeta/dias/1819/07/29/pdfs/GMD-1819-91.pdf#page=4","Abrir facsímil")</f>
        <v>Abrir facsímil</v>
      </c>
      <c r="K693" s="3" t="s">
        <v>67</v>
      </c>
    </row>
    <row r="694" spans="1:11" ht="42" customHeight="1">
      <c r="A694" s="2" t="s">
        <v>1925</v>
      </c>
      <c r="B694" s="2" t="s">
        <v>1925</v>
      </c>
      <c r="C694" s="2" t="s">
        <v>59</v>
      </c>
      <c r="D694" s="2" t="s">
        <v>18</v>
      </c>
      <c r="E694" s="5">
        <v>-29374</v>
      </c>
      <c r="F694" s="3" t="s">
        <v>204</v>
      </c>
      <c r="G694" s="3" t="s">
        <v>55</v>
      </c>
      <c r="H694" s="2" t="s">
        <v>65</v>
      </c>
      <c r="I694" s="2" t="s">
        <v>1942</v>
      </c>
      <c r="J694" s="3" t="str">
        <f>HYPERLINK("https://www.boe.es/gazeta/dias/1819/07/29/pdfs/GMD-1819-91.pdf#page=7","Abrir facsímil")</f>
        <v>Abrir facsímil</v>
      </c>
      <c r="K694" s="3" t="s">
        <v>67</v>
      </c>
    </row>
    <row r="695" spans="1:11" ht="42" customHeight="1">
      <c r="A695" s="2" t="s">
        <v>1923</v>
      </c>
      <c r="B695" s="2" t="s">
        <v>1923</v>
      </c>
      <c r="C695" s="2" t="s">
        <v>80</v>
      </c>
      <c r="D695" s="2" t="s">
        <v>81</v>
      </c>
      <c r="E695" s="5">
        <v>-29367</v>
      </c>
      <c r="F695" s="3" t="s">
        <v>571</v>
      </c>
      <c r="G695" s="3" t="s">
        <v>28</v>
      </c>
      <c r="H695" s="2" t="s">
        <v>65</v>
      </c>
      <c r="I695" s="2" t="s">
        <v>1943</v>
      </c>
      <c r="J695" s="3" t="str">
        <f>HYPERLINK("https://www.boe.es/gazeta/dias/1819/08/05/pdfs/GMD-1819-94.pdf#page=8","Abrir facsímil")</f>
        <v>Abrir facsímil</v>
      </c>
      <c r="K695" s="3" t="s">
        <v>67</v>
      </c>
    </row>
    <row r="696" spans="1:11" ht="42" customHeight="1">
      <c r="A696" s="2" t="s">
        <v>1925</v>
      </c>
      <c r="B696" s="2" t="s">
        <v>1925</v>
      </c>
      <c r="C696" s="2" t="s">
        <v>80</v>
      </c>
      <c r="D696" s="2" t="s">
        <v>81</v>
      </c>
      <c r="E696" s="5">
        <v>-29332</v>
      </c>
      <c r="F696" s="3" t="s">
        <v>499</v>
      </c>
      <c r="G696" s="3" t="s">
        <v>33</v>
      </c>
      <c r="H696" s="2" t="s">
        <v>65</v>
      </c>
      <c r="I696" s="2" t="s">
        <v>1944</v>
      </c>
      <c r="J696" s="3" t="str">
        <f>HYPERLINK("https://www.boe.es/gazeta/dias/1819/09/09/pdfs/GMD-1819-110.pdf#page=6","Abrir facsímil")</f>
        <v>Abrir facsímil</v>
      </c>
      <c r="K696" s="3" t="s">
        <v>67</v>
      </c>
    </row>
    <row r="697" spans="1:11" ht="42" customHeight="1">
      <c r="A697" s="2" t="s">
        <v>1925</v>
      </c>
      <c r="B697" s="2" t="s">
        <v>1925</v>
      </c>
      <c r="C697" s="2" t="s">
        <v>80</v>
      </c>
      <c r="D697" s="2" t="s">
        <v>81</v>
      </c>
      <c r="E697" s="5">
        <v>-29318</v>
      </c>
      <c r="F697" s="3" t="s">
        <v>1442</v>
      </c>
      <c r="G697" s="3" t="s">
        <v>1443</v>
      </c>
      <c r="H697" s="2" t="s">
        <v>65</v>
      </c>
      <c r="I697" s="2" t="s">
        <v>1945</v>
      </c>
      <c r="J697" s="3" t="str">
        <f>HYPERLINK("https://www.boe.es/gazeta/dias/1819/09/23/pdfs/GMD-1819-117.pdf#page=8","Abrir facsímil")</f>
        <v>Abrir facsímil</v>
      </c>
      <c r="K697" s="3" t="s">
        <v>67</v>
      </c>
    </row>
    <row r="698" spans="1:11" ht="42" customHeight="1">
      <c r="A698" s="2" t="s">
        <v>1925</v>
      </c>
      <c r="B698" s="2" t="s">
        <v>1925</v>
      </c>
      <c r="C698" s="2" t="s">
        <v>80</v>
      </c>
      <c r="D698" s="2" t="s">
        <v>81</v>
      </c>
      <c r="E698" s="5">
        <v>-29316</v>
      </c>
      <c r="F698" s="3" t="s">
        <v>166</v>
      </c>
      <c r="G698" s="3" t="s">
        <v>55</v>
      </c>
      <c r="H698" s="2" t="s">
        <v>65</v>
      </c>
      <c r="I698" s="2" t="s">
        <v>1946</v>
      </c>
      <c r="J698" s="3" t="str">
        <f>HYPERLINK("https://www.boe.es/gazeta/dias/1819/09/25/pdfs/GMD-1819-118.pdf#page=7","Abrir facsímil")</f>
        <v>Abrir facsímil</v>
      </c>
      <c r="K698" s="3" t="s">
        <v>67</v>
      </c>
    </row>
    <row r="699" spans="1:11" ht="42" customHeight="1">
      <c r="A699" s="2" t="s">
        <v>1925</v>
      </c>
      <c r="B699" s="2" t="s">
        <v>1925</v>
      </c>
      <c r="C699" s="2" t="s">
        <v>59</v>
      </c>
      <c r="D699" s="2" t="s">
        <v>18</v>
      </c>
      <c r="E699" s="5">
        <v>-29290</v>
      </c>
      <c r="F699" s="3" t="s">
        <v>622</v>
      </c>
      <c r="G699" s="3" t="s">
        <v>33</v>
      </c>
      <c r="H699" s="2" t="s">
        <v>65</v>
      </c>
      <c r="I699" s="2" t="s">
        <v>1947</v>
      </c>
      <c r="J699" s="3" t="str">
        <f>HYPERLINK("https://www.boe.es/gazeta/dias/1819/10/21/pdfs/GMD-1819-129.pdf#page=6","Abrir facsímil")</f>
        <v>Abrir facsímil</v>
      </c>
      <c r="K699" s="3" t="s">
        <v>67</v>
      </c>
    </row>
    <row r="700" spans="1:11" ht="42" customHeight="1">
      <c r="A700" s="2" t="s">
        <v>1923</v>
      </c>
      <c r="B700" s="2" t="s">
        <v>1923</v>
      </c>
      <c r="C700" s="2" t="s">
        <v>80</v>
      </c>
      <c r="D700" s="2" t="s">
        <v>454</v>
      </c>
      <c r="E700" s="5">
        <v>-29287</v>
      </c>
      <c r="F700" s="3" t="s">
        <v>455</v>
      </c>
      <c r="G700" s="3" t="s">
        <v>239</v>
      </c>
      <c r="H700" s="2" t="s">
        <v>65</v>
      </c>
      <c r="I700" s="2" t="s">
        <v>1948</v>
      </c>
      <c r="J700" s="3" t="str">
        <f>HYPERLINK("https://www.boe.es/gazeta/dias/1819/10/24/pdfs/GMD-1819-131E.pdf#page=1","Abrir facsímil")</f>
        <v>Abrir facsímil</v>
      </c>
      <c r="K700" s="3" t="s">
        <v>67</v>
      </c>
    </row>
    <row r="701" spans="1:11" ht="42" customHeight="1">
      <c r="A701" s="2" t="s">
        <v>1925</v>
      </c>
      <c r="B701" s="2" t="s">
        <v>1925</v>
      </c>
      <c r="C701" s="2" t="s">
        <v>246</v>
      </c>
      <c r="D701" s="2" t="s">
        <v>454</v>
      </c>
      <c r="E701" s="5">
        <v>-29287</v>
      </c>
      <c r="F701" s="3" t="s">
        <v>455</v>
      </c>
      <c r="G701" s="3" t="s">
        <v>33</v>
      </c>
      <c r="H701" s="2" t="s">
        <v>65</v>
      </c>
      <c r="I701" s="2" t="s">
        <v>1949</v>
      </c>
      <c r="J701" s="3" t="str">
        <f>HYPERLINK("https://www.boe.es/gazeta/dias/1819/10/24/pdfs/GMD-1819-131E.pdf#page=6","Abrir facsímil")</f>
        <v>Abrir facsímil</v>
      </c>
      <c r="K701" s="3" t="s">
        <v>67</v>
      </c>
    </row>
    <row r="702" spans="1:11" ht="42" customHeight="1">
      <c r="A702" s="2" t="s">
        <v>1925</v>
      </c>
      <c r="B702" s="2" t="s">
        <v>1925</v>
      </c>
      <c r="C702" s="2" t="s">
        <v>63</v>
      </c>
      <c r="D702" s="2" t="s">
        <v>43</v>
      </c>
      <c r="E702" s="5">
        <v>-29278</v>
      </c>
      <c r="F702" s="3" t="s">
        <v>1950</v>
      </c>
      <c r="G702" s="3" t="s">
        <v>33</v>
      </c>
      <c r="H702" s="2" t="s">
        <v>65</v>
      </c>
      <c r="I702" s="2" t="s">
        <v>1951</v>
      </c>
      <c r="J702" s="3" t="str">
        <f>HYPERLINK("https://www.boe.es/gazeta/dias/1819/11/02/pdfs/GMD-1819-135.pdf#page=6","Abrir facsímil")</f>
        <v>Abrir facsímil</v>
      </c>
      <c r="K702" s="3" t="s">
        <v>67</v>
      </c>
    </row>
    <row r="703" spans="1:11" ht="42" customHeight="1">
      <c r="A703" s="2" t="s">
        <v>1925</v>
      </c>
      <c r="B703" s="2" t="s">
        <v>1925</v>
      </c>
      <c r="C703" s="2" t="s">
        <v>80</v>
      </c>
      <c r="D703" s="2" t="s">
        <v>81</v>
      </c>
      <c r="E703" s="5">
        <v>-29271</v>
      </c>
      <c r="F703" s="3" t="s">
        <v>32</v>
      </c>
      <c r="G703" s="3" t="s">
        <v>28</v>
      </c>
      <c r="H703" s="2" t="s">
        <v>65</v>
      </c>
      <c r="I703" s="2" t="s">
        <v>1952</v>
      </c>
      <c r="J703" s="3" t="str">
        <f>HYPERLINK("https://www.boe.es/gazeta/dias/1819/11/09/pdfs/GMD-1819-138.pdf#page=8","Abrir facsímil")</f>
        <v>Abrir facsímil</v>
      </c>
      <c r="K703" s="3" t="s">
        <v>67</v>
      </c>
    </row>
    <row r="704" spans="1:11" ht="42" customHeight="1">
      <c r="A704" s="2" t="s">
        <v>1925</v>
      </c>
      <c r="B704" s="2" t="s">
        <v>1925</v>
      </c>
      <c r="C704" s="2" t="s">
        <v>59</v>
      </c>
      <c r="D704" s="2" t="s">
        <v>18</v>
      </c>
      <c r="E704" s="5">
        <v>-29267</v>
      </c>
      <c r="F704" s="3" t="s">
        <v>370</v>
      </c>
      <c r="G704" s="3" t="s">
        <v>33</v>
      </c>
      <c r="H704" s="2" t="s">
        <v>65</v>
      </c>
      <c r="I704" s="2" t="s">
        <v>1953</v>
      </c>
      <c r="J704" s="3" t="str">
        <f>HYPERLINK("https://www.boe.es/gazeta/dias/1819/11/13/pdfs/GMD-1819-140.pdf#page=6","Abrir facsímil")</f>
        <v>Abrir facsímil</v>
      </c>
      <c r="K704" s="3" t="s">
        <v>67</v>
      </c>
    </row>
    <row r="705" spans="1:11" ht="42" customHeight="1">
      <c r="A705" s="2" t="s">
        <v>1925</v>
      </c>
      <c r="B705" s="2" t="s">
        <v>1925</v>
      </c>
      <c r="C705" s="2" t="s">
        <v>80</v>
      </c>
      <c r="D705" s="2" t="s">
        <v>81</v>
      </c>
      <c r="E705" s="5">
        <v>-29267</v>
      </c>
      <c r="F705" s="3" t="s">
        <v>370</v>
      </c>
      <c r="G705" s="3" t="s">
        <v>28</v>
      </c>
      <c r="H705" s="2" t="s">
        <v>65</v>
      </c>
      <c r="I705" s="2" t="s">
        <v>1954</v>
      </c>
      <c r="J705" s="3" t="str">
        <f>HYPERLINK("https://www.boe.es/gazeta/dias/1819/11/13/pdfs/GMD-1819-140.pdf#page=8","Abrir facsímil")</f>
        <v>Abrir facsímil</v>
      </c>
      <c r="K705" s="3" t="s">
        <v>67</v>
      </c>
    </row>
    <row r="706" spans="1:11" ht="42" customHeight="1">
      <c r="A706" s="2" t="s">
        <v>1925</v>
      </c>
      <c r="B706" s="2" t="s">
        <v>1925</v>
      </c>
      <c r="C706" s="2" t="s">
        <v>80</v>
      </c>
      <c r="D706" s="2" t="s">
        <v>81</v>
      </c>
      <c r="E706" s="5">
        <v>-29264</v>
      </c>
      <c r="F706" s="3" t="s">
        <v>37</v>
      </c>
      <c r="G706" s="3" t="s">
        <v>1794</v>
      </c>
      <c r="H706" s="2" t="s">
        <v>65</v>
      </c>
      <c r="I706" s="2" t="s">
        <v>1955</v>
      </c>
      <c r="J706" s="3" t="str">
        <f>HYPERLINK("https://www.boe.es/gazeta/dias/1819/11/16/pdfs/GMD-1819-141.pdf#page=11","Abrir facsímil")</f>
        <v>Abrir facsímil</v>
      </c>
      <c r="K706" s="3" t="s">
        <v>67</v>
      </c>
    </row>
    <row r="707" spans="1:11" ht="42" customHeight="1">
      <c r="A707" s="2" t="s">
        <v>1925</v>
      </c>
      <c r="B707" s="2" t="s">
        <v>1925</v>
      </c>
      <c r="C707" s="2" t="s">
        <v>26</v>
      </c>
      <c r="D707" s="2" t="s">
        <v>18</v>
      </c>
      <c r="E707" s="5">
        <v>-29220</v>
      </c>
      <c r="F707" s="3" t="s">
        <v>397</v>
      </c>
      <c r="G707" s="3" t="s">
        <v>28</v>
      </c>
      <c r="H707" s="2" t="s">
        <v>65</v>
      </c>
      <c r="I707" s="2" t="s">
        <v>1956</v>
      </c>
      <c r="J707" s="3" t="str">
        <f>HYPERLINK("https://www.boe.es/gazeta/dias/1819/12/30/pdfs/GMD-1819-160.pdf#page=8","Abrir facsímil")</f>
        <v>Abrir facsímil</v>
      </c>
      <c r="K707" s="3" t="s">
        <v>67</v>
      </c>
    </row>
    <row r="708" spans="1:11" ht="42" customHeight="1">
      <c r="A708" s="2" t="s">
        <v>1957</v>
      </c>
      <c r="B708" s="2" t="s">
        <v>1958</v>
      </c>
      <c r="C708" s="2" t="s">
        <v>59</v>
      </c>
      <c r="D708" s="2" t="s">
        <v>18</v>
      </c>
      <c r="E708" s="5">
        <v>-29442</v>
      </c>
      <c r="F708" s="3" t="s">
        <v>427</v>
      </c>
      <c r="G708" s="3" t="s">
        <v>55</v>
      </c>
      <c r="H708" s="2" t="s">
        <v>65</v>
      </c>
      <c r="I708" s="2" t="s">
        <v>1959</v>
      </c>
      <c r="J708" s="3" t="str">
        <f>HYPERLINK("https://www.boe.es/gazeta/dias/1819/05/22/pdfs/GMD-1819-61.pdf#page=7","Abrir facsímil")</f>
        <v>Abrir facsímil</v>
      </c>
      <c r="K708" s="3" t="s">
        <v>67</v>
      </c>
    </row>
    <row r="709" spans="1:11" ht="42" customHeight="1">
      <c r="A709" s="2" t="s">
        <v>1957</v>
      </c>
      <c r="B709" s="2" t="s">
        <v>1958</v>
      </c>
      <c r="C709" s="2" t="s">
        <v>26</v>
      </c>
      <c r="D709" s="2" t="s">
        <v>18</v>
      </c>
      <c r="E709" s="5">
        <v>-29439</v>
      </c>
      <c r="F709" s="3" t="s">
        <v>1101</v>
      </c>
      <c r="G709" s="3" t="s">
        <v>1960</v>
      </c>
      <c r="H709" s="2" t="s">
        <v>65</v>
      </c>
      <c r="I709" s="2" t="s">
        <v>1961</v>
      </c>
      <c r="J709" s="3" t="str">
        <f>HYPERLINK("https://www.boe.es/gazeta/dias/1819/05/25/pdfs/GMD-1819-62.pdf#page=8","Abrir facsímil")</f>
        <v>Abrir facsímil</v>
      </c>
      <c r="K709" s="3" t="s">
        <v>67</v>
      </c>
    </row>
    <row r="710" spans="1:11" ht="42" customHeight="1">
      <c r="A710" s="2" t="s">
        <v>1957</v>
      </c>
      <c r="B710" s="2" t="s">
        <v>1958</v>
      </c>
      <c r="C710" s="2" t="s">
        <v>80</v>
      </c>
      <c r="D710" s="2" t="s">
        <v>81</v>
      </c>
      <c r="E710" s="5">
        <v>-29439</v>
      </c>
      <c r="F710" s="3" t="s">
        <v>1101</v>
      </c>
      <c r="G710" s="3" t="s">
        <v>33</v>
      </c>
      <c r="H710" s="2" t="s">
        <v>65</v>
      </c>
      <c r="I710" s="2" t="s">
        <v>1962</v>
      </c>
      <c r="J710" s="3" t="str">
        <f>HYPERLINK("https://www.boe.es/gazeta/dias/1819/05/25/pdfs/GMD-1819-62.pdf#page=6","Abrir facsímil")</f>
        <v>Abrir facsímil</v>
      </c>
      <c r="K710" s="3" t="s">
        <v>67</v>
      </c>
    </row>
    <row r="711" spans="1:11" ht="42" customHeight="1">
      <c r="A711" s="2" t="s">
        <v>1957</v>
      </c>
      <c r="B711" s="2" t="s">
        <v>1958</v>
      </c>
      <c r="C711" s="2" t="s">
        <v>80</v>
      </c>
      <c r="D711" s="2" t="s">
        <v>81</v>
      </c>
      <c r="E711" s="5">
        <v>-29437</v>
      </c>
      <c r="F711" s="3" t="s">
        <v>1147</v>
      </c>
      <c r="G711" s="3" t="s">
        <v>33</v>
      </c>
      <c r="H711" s="2" t="s">
        <v>65</v>
      </c>
      <c r="I711" s="2" t="s">
        <v>1963</v>
      </c>
      <c r="J711" s="3" t="str">
        <f>HYPERLINK("https://www.boe.es/gazeta/dias/1819/05/27/pdfs/GMD-1819-63.pdf#page=6","Abrir facsímil")</f>
        <v>Abrir facsímil</v>
      </c>
      <c r="K711" s="3" t="s">
        <v>67</v>
      </c>
    </row>
    <row r="712" spans="1:11" ht="42" customHeight="1">
      <c r="A712" s="2" t="s">
        <v>1957</v>
      </c>
      <c r="B712" s="2" t="s">
        <v>1958</v>
      </c>
      <c r="C712" s="2" t="s">
        <v>80</v>
      </c>
      <c r="D712" s="2" t="s">
        <v>81</v>
      </c>
      <c r="E712" s="5">
        <v>-29437</v>
      </c>
      <c r="F712" s="3" t="s">
        <v>1147</v>
      </c>
      <c r="G712" s="3" t="s">
        <v>55</v>
      </c>
      <c r="H712" s="2" t="s">
        <v>65</v>
      </c>
      <c r="I712" s="2" t="s">
        <v>1964</v>
      </c>
      <c r="J712" s="3" t="str">
        <f>HYPERLINK("https://www.boe.es/gazeta/dias/1819/05/27/pdfs/GMD-1819-63.pdf#page=7","Abrir facsímil")</f>
        <v>Abrir facsímil</v>
      </c>
      <c r="K712" s="3" t="s">
        <v>67</v>
      </c>
    </row>
    <row r="713" spans="1:11" ht="42" customHeight="1">
      <c r="A713" s="2" t="s">
        <v>1957</v>
      </c>
      <c r="B713" s="2" t="s">
        <v>1958</v>
      </c>
      <c r="C713" s="2" t="s">
        <v>59</v>
      </c>
      <c r="D713" s="2" t="s">
        <v>18</v>
      </c>
      <c r="E713" s="5">
        <v>-29435</v>
      </c>
      <c r="F713" s="3" t="s">
        <v>191</v>
      </c>
      <c r="G713" s="3" t="s">
        <v>296</v>
      </c>
      <c r="H713" s="2" t="s">
        <v>65</v>
      </c>
      <c r="I713" s="2" t="s">
        <v>1965</v>
      </c>
      <c r="J713" s="3" t="str">
        <f>HYPERLINK("https://www.boe.es/gazeta/dias/1819/05/29/pdfs/GMD-1819-64.pdf#page=4","Abrir facsímil")</f>
        <v>Abrir facsímil</v>
      </c>
      <c r="K713" s="3" t="s">
        <v>67</v>
      </c>
    </row>
    <row r="714" spans="1:11" ht="42" customHeight="1">
      <c r="A714" s="2" t="s">
        <v>1957</v>
      </c>
      <c r="B714" s="2" t="s">
        <v>1958</v>
      </c>
      <c r="C714" s="2" t="s">
        <v>63</v>
      </c>
      <c r="D714" s="2" t="s">
        <v>43</v>
      </c>
      <c r="E714" s="5">
        <v>-29435</v>
      </c>
      <c r="F714" s="3" t="s">
        <v>191</v>
      </c>
      <c r="G714" s="3" t="s">
        <v>33</v>
      </c>
      <c r="H714" s="2" t="s">
        <v>65</v>
      </c>
      <c r="I714" s="2" t="s">
        <v>1966</v>
      </c>
      <c r="J714" s="3" t="str">
        <f>HYPERLINK("https://www.boe.es/gazeta/dias/1819/05/29/pdfs/GMD-1819-64.pdf#page=6","Abrir facsímil")</f>
        <v>Abrir facsímil</v>
      </c>
      <c r="K714" s="3" t="s">
        <v>67</v>
      </c>
    </row>
    <row r="715" spans="1:11" ht="42" customHeight="1">
      <c r="A715" s="2" t="s">
        <v>1957</v>
      </c>
      <c r="B715" s="2" t="s">
        <v>1958</v>
      </c>
      <c r="C715" s="2" t="s">
        <v>80</v>
      </c>
      <c r="D715" s="2" t="s">
        <v>81</v>
      </c>
      <c r="E715" s="5">
        <v>-29432</v>
      </c>
      <c r="F715" s="3" t="s">
        <v>1967</v>
      </c>
      <c r="G715" s="3" t="s">
        <v>1968</v>
      </c>
      <c r="H715" s="2" t="s">
        <v>65</v>
      </c>
      <c r="I715" s="2" t="s">
        <v>1969</v>
      </c>
      <c r="J715" s="3" t="str">
        <f>HYPERLINK("https://www.boe.es/gazeta/dias/1819/06/01/pdfs/GMD-1819-65.pdf#page=4","Abrir facsímil")</f>
        <v>Abrir facsímil</v>
      </c>
      <c r="K715" s="3" t="s">
        <v>67</v>
      </c>
    </row>
    <row r="716" spans="1:11" ht="42" customHeight="1">
      <c r="A716" s="2" t="s">
        <v>1957</v>
      </c>
      <c r="B716" s="2" t="s">
        <v>1958</v>
      </c>
      <c r="C716" s="2" t="s">
        <v>80</v>
      </c>
      <c r="D716" s="2" t="s">
        <v>81</v>
      </c>
      <c r="E716" s="5">
        <v>-29428</v>
      </c>
      <c r="F716" s="3" t="s">
        <v>730</v>
      </c>
      <c r="G716" s="3" t="s">
        <v>38</v>
      </c>
      <c r="H716" s="2" t="s">
        <v>65</v>
      </c>
      <c r="I716" s="2" t="s">
        <v>1970</v>
      </c>
      <c r="J716" s="3" t="str">
        <f>HYPERLINK("https://www.boe.es/gazeta/dias/1819/06/05/pdfs/GMD-1819-67.pdf#page=5","Abrir facsímil")</f>
        <v>Abrir facsímil</v>
      </c>
      <c r="K716" s="3" t="s">
        <v>67</v>
      </c>
    </row>
    <row r="717" spans="1:11" ht="42" customHeight="1">
      <c r="A717" s="2" t="s">
        <v>1957</v>
      </c>
      <c r="B717" s="2" t="s">
        <v>1958</v>
      </c>
      <c r="C717" s="2" t="s">
        <v>215</v>
      </c>
      <c r="D717" s="2" t="s">
        <v>18</v>
      </c>
      <c r="E717" s="5">
        <v>-29425</v>
      </c>
      <c r="F717" s="3" t="s">
        <v>110</v>
      </c>
      <c r="G717" s="3" t="s">
        <v>55</v>
      </c>
      <c r="H717" s="2" t="s">
        <v>65</v>
      </c>
      <c r="I717" s="2" t="s">
        <v>1971</v>
      </c>
      <c r="J717" s="3" t="str">
        <f>HYPERLINK("https://www.boe.es/gazeta/dias/1819/06/08/pdfs/GMD-1819-68.pdf#page=7","Abrir facsímil")</f>
        <v>Abrir facsímil</v>
      </c>
      <c r="K717" s="3" t="s">
        <v>67</v>
      </c>
    </row>
    <row r="718" spans="1:11" ht="42" customHeight="1">
      <c r="A718" s="2" t="s">
        <v>1957</v>
      </c>
      <c r="B718" s="2" t="s">
        <v>1958</v>
      </c>
      <c r="C718" s="2" t="s">
        <v>80</v>
      </c>
      <c r="D718" s="2" t="s">
        <v>81</v>
      </c>
      <c r="E718" s="5">
        <v>-29421</v>
      </c>
      <c r="F718" s="3" t="s">
        <v>1972</v>
      </c>
      <c r="G718" s="3" t="s">
        <v>1973</v>
      </c>
      <c r="H718" s="2" t="s">
        <v>65</v>
      </c>
      <c r="I718" s="2" t="s">
        <v>1974</v>
      </c>
      <c r="J718" s="3" t="str">
        <f>HYPERLINK("https://www.boe.es/gazeta/dias/1819/06/12/pdfs/GMD-1819-70.pdf#page=6","Abrir facsímil")</f>
        <v>Abrir facsímil</v>
      </c>
      <c r="K718" s="3" t="s">
        <v>67</v>
      </c>
    </row>
    <row r="719" spans="1:11" ht="42" customHeight="1">
      <c r="A719" s="2" t="s">
        <v>1957</v>
      </c>
      <c r="B719" s="2" t="s">
        <v>1958</v>
      </c>
      <c r="C719" s="2" t="s">
        <v>63</v>
      </c>
      <c r="D719" s="2" t="s">
        <v>43</v>
      </c>
      <c r="E719" s="5">
        <v>-29421</v>
      </c>
      <c r="F719" s="3" t="s">
        <v>1972</v>
      </c>
      <c r="G719" s="3" t="s">
        <v>55</v>
      </c>
      <c r="H719" s="2" t="s">
        <v>65</v>
      </c>
      <c r="I719" s="2" t="s">
        <v>1975</v>
      </c>
      <c r="J719" s="3" t="str">
        <f>HYPERLINK("https://www.boe.es/gazeta/dias/1819/06/12/pdfs/GMD-1819-70.pdf#page=7","Abrir facsímil")</f>
        <v>Abrir facsímil</v>
      </c>
      <c r="K719" s="3" t="s">
        <v>67</v>
      </c>
    </row>
    <row r="720" spans="1:11" ht="42" customHeight="1">
      <c r="A720" s="2" t="s">
        <v>1957</v>
      </c>
      <c r="B720" s="2" t="s">
        <v>1958</v>
      </c>
      <c r="C720" s="2" t="s">
        <v>59</v>
      </c>
      <c r="D720" s="2" t="s">
        <v>454</v>
      </c>
      <c r="E720" s="5">
        <v>-29419</v>
      </c>
      <c r="F720" s="3" t="s">
        <v>1491</v>
      </c>
      <c r="G720" s="3" t="s">
        <v>239</v>
      </c>
      <c r="H720" s="2" t="s">
        <v>65</v>
      </c>
      <c r="I720" s="2" t="s">
        <v>1976</v>
      </c>
      <c r="J720" s="3" t="str">
        <f>HYPERLINK("https://www.boe.es/gazeta/dias/1819/06/14/pdfs/GMD-1819-71E.pdf#page=1","Abrir facsímil")</f>
        <v>Abrir facsímil</v>
      </c>
      <c r="K720" s="3" t="s">
        <v>67</v>
      </c>
    </row>
    <row r="721" spans="1:11" ht="42" customHeight="1">
      <c r="A721" s="2" t="s">
        <v>1957</v>
      </c>
      <c r="B721" s="2" t="s">
        <v>1958</v>
      </c>
      <c r="C721" s="2" t="s">
        <v>63</v>
      </c>
      <c r="D721" s="2" t="s">
        <v>43</v>
      </c>
      <c r="E721" s="5">
        <v>-29418</v>
      </c>
      <c r="F721" s="3" t="s">
        <v>447</v>
      </c>
      <c r="G721" s="3" t="s">
        <v>55</v>
      </c>
      <c r="H721" s="2" t="s">
        <v>65</v>
      </c>
      <c r="I721" s="2" t="s">
        <v>1977</v>
      </c>
      <c r="J721" s="3" t="str">
        <f>HYPERLINK("https://www.boe.es/gazeta/dias/1819/06/15/pdfs/GMD-1819-72.pdf#page=7","Abrir facsímil")</f>
        <v>Abrir facsímil</v>
      </c>
      <c r="K721" s="3" t="s">
        <v>67</v>
      </c>
    </row>
    <row r="722" spans="1:11" ht="42" customHeight="1">
      <c r="A722" s="2" t="s">
        <v>1957</v>
      </c>
      <c r="B722" s="2" t="s">
        <v>1958</v>
      </c>
      <c r="C722" s="2" t="s">
        <v>26</v>
      </c>
      <c r="D722" s="2" t="s">
        <v>18</v>
      </c>
      <c r="E722" s="5">
        <v>-29393</v>
      </c>
      <c r="F722" s="3" t="s">
        <v>536</v>
      </c>
      <c r="G722" s="3" t="s">
        <v>28</v>
      </c>
      <c r="H722" s="2" t="s">
        <v>65</v>
      </c>
      <c r="I722" s="2" t="s">
        <v>1978</v>
      </c>
      <c r="J722" s="3" t="str">
        <f>HYPERLINK("https://www.boe.es/gazeta/dias/1819/07/10/pdfs/GMD-1819-83.pdf#page=8","Abrir facsímil")</f>
        <v>Abrir facsímil</v>
      </c>
      <c r="K722" s="3" t="s">
        <v>67</v>
      </c>
    </row>
    <row r="723" spans="1:11" ht="42" customHeight="1">
      <c r="A723" s="2" t="s">
        <v>1979</v>
      </c>
      <c r="B723" s="2" t="s">
        <v>1980</v>
      </c>
      <c r="C723" s="2" t="s">
        <v>80</v>
      </c>
      <c r="D723" s="2" t="s">
        <v>81</v>
      </c>
      <c r="E723" s="5">
        <v>-29316</v>
      </c>
      <c r="F723" s="3" t="s">
        <v>166</v>
      </c>
      <c r="G723" s="3" t="s">
        <v>20</v>
      </c>
      <c r="H723" s="2" t="s">
        <v>65</v>
      </c>
      <c r="I723" s="2" t="s">
        <v>1981</v>
      </c>
      <c r="J723" s="3" t="str">
        <f>HYPERLINK("https://www.boe.es/gazeta/dias/1819/09/25/pdfs/GMD-1819-118.pdf#page=10","Abrir facsímil")</f>
        <v>Abrir facsímil</v>
      </c>
      <c r="K723" s="3" t="s">
        <v>67</v>
      </c>
    </row>
    <row r="724" spans="1:11" ht="42" customHeight="1">
      <c r="A724" s="2" t="s">
        <v>1982</v>
      </c>
      <c r="B724" s="2" t="s">
        <v>1983</v>
      </c>
      <c r="C724" s="2" t="s">
        <v>59</v>
      </c>
      <c r="D724" s="2" t="s">
        <v>18</v>
      </c>
      <c r="E724" s="5">
        <v>-29542</v>
      </c>
      <c r="F724" s="3" t="s">
        <v>607</v>
      </c>
      <c r="G724" s="3" t="s">
        <v>28</v>
      </c>
      <c r="H724" s="2" t="s">
        <v>65</v>
      </c>
      <c r="I724" s="2" t="s">
        <v>1984</v>
      </c>
      <c r="J724" s="3" t="str">
        <f>HYPERLINK("https://www.boe.es/gazeta/dias/1819/02/11/pdfs/GMD-1819-18.pdf#page=8","Abrir facsímil")</f>
        <v>Abrir facsímil</v>
      </c>
      <c r="K724" s="3" t="s">
        <v>67</v>
      </c>
    </row>
    <row r="725" spans="1:11" ht="42" customHeight="1">
      <c r="A725" s="2" t="s">
        <v>1985</v>
      </c>
      <c r="B725" s="2" t="s">
        <v>1986</v>
      </c>
      <c r="C725" s="2" t="s">
        <v>80</v>
      </c>
      <c r="D725" s="2" t="s">
        <v>81</v>
      </c>
      <c r="E725" s="5">
        <v>-29248</v>
      </c>
      <c r="F725" s="3" t="s">
        <v>395</v>
      </c>
      <c r="G725" s="3" t="s">
        <v>1179</v>
      </c>
      <c r="H725" s="2" t="s">
        <v>65</v>
      </c>
      <c r="I725" s="2" t="s">
        <v>1987</v>
      </c>
      <c r="J725" s="3" t="str">
        <f>HYPERLINK("https://www.boe.es/gazeta/dias/1819/12/02/pdfs/GMD-1819-148.pdf#page=10","Abrir facsímil")</f>
        <v>Abrir facsímil</v>
      </c>
      <c r="K725" s="3" t="s">
        <v>67</v>
      </c>
    </row>
    <row r="726" spans="1:11" ht="42" customHeight="1">
      <c r="A726" s="2" t="s">
        <v>1988</v>
      </c>
      <c r="B726" s="2" t="s">
        <v>1988</v>
      </c>
      <c r="C726" s="2" t="s">
        <v>215</v>
      </c>
      <c r="D726" s="2" t="s">
        <v>18</v>
      </c>
      <c r="E726" s="5">
        <v>-29435</v>
      </c>
      <c r="F726" s="3" t="s">
        <v>191</v>
      </c>
      <c r="G726" s="3" t="s">
        <v>28</v>
      </c>
      <c r="H726" s="2" t="s">
        <v>65</v>
      </c>
      <c r="I726" s="2" t="s">
        <v>1989</v>
      </c>
      <c r="J726" s="3" t="str">
        <f>HYPERLINK("https://www.boe.es/gazeta/dias/1819/05/29/pdfs/GMD-1819-64.pdf#page=8","Abrir facsímil")</f>
        <v>Abrir facsímil</v>
      </c>
      <c r="K726" s="3" t="s">
        <v>67</v>
      </c>
    </row>
    <row r="727" spans="1:11" ht="42" customHeight="1">
      <c r="A727" s="2" t="s">
        <v>1990</v>
      </c>
      <c r="B727" s="2" t="s">
        <v>1991</v>
      </c>
      <c r="C727" s="2" t="s">
        <v>63</v>
      </c>
      <c r="D727" s="2" t="s">
        <v>43</v>
      </c>
      <c r="E727" s="5">
        <v>-29435</v>
      </c>
      <c r="F727" s="3" t="s">
        <v>191</v>
      </c>
      <c r="G727" s="3" t="s">
        <v>55</v>
      </c>
      <c r="H727" s="2" t="s">
        <v>65</v>
      </c>
      <c r="I727" s="2" t="s">
        <v>1992</v>
      </c>
      <c r="J727" s="3" t="str">
        <f>HYPERLINK("https://www.boe.es/gazeta/dias/1819/05/29/pdfs/GMD-1819-64.pdf#page=7","Abrir facsímil")</f>
        <v>Abrir facsímil</v>
      </c>
      <c r="K727" s="3" t="s">
        <v>67</v>
      </c>
    </row>
    <row r="728" spans="1:11" ht="42" customHeight="1">
      <c r="A728" s="2" t="s">
        <v>1993</v>
      </c>
      <c r="B728" s="2" t="s">
        <v>1994</v>
      </c>
      <c r="C728" s="2" t="s">
        <v>59</v>
      </c>
      <c r="D728" s="2" t="s">
        <v>18</v>
      </c>
      <c r="E728" s="5">
        <v>-29246</v>
      </c>
      <c r="F728" s="3" t="s">
        <v>494</v>
      </c>
      <c r="G728" s="3" t="s">
        <v>1995</v>
      </c>
      <c r="H728" s="2" t="s">
        <v>65</v>
      </c>
      <c r="I728" s="2" t="s">
        <v>1996</v>
      </c>
      <c r="J728" s="3" t="str">
        <f>HYPERLINK("https://www.boe.es/gazeta/dias/1819/12/04/pdfs/GMD-1819-149.pdf#page=8","Abrir facsímil")</f>
        <v>Abrir facsímil</v>
      </c>
      <c r="K728" s="3" t="s">
        <v>67</v>
      </c>
    </row>
    <row r="729" spans="1:11" ht="42" customHeight="1">
      <c r="A729" s="2" t="s">
        <v>1997</v>
      </c>
      <c r="B729" s="2" t="s">
        <v>1998</v>
      </c>
      <c r="C729" s="2" t="s">
        <v>63</v>
      </c>
      <c r="D729" s="2" t="s">
        <v>454</v>
      </c>
      <c r="E729" s="5">
        <v>-29287</v>
      </c>
      <c r="F729" s="3" t="s">
        <v>455</v>
      </c>
      <c r="G729" s="3" t="s">
        <v>1113</v>
      </c>
      <c r="H729" s="2" t="s">
        <v>65</v>
      </c>
      <c r="I729" s="2" t="s">
        <v>1999</v>
      </c>
      <c r="J729" s="3" t="str">
        <f>HYPERLINK("https://www.boe.es/gazeta/dias/1819/10/24/pdfs/GMD-1819-131E.pdf#page=7","Abrir facsímil")</f>
        <v>Abrir facsímil</v>
      </c>
      <c r="K729" s="3" t="s">
        <v>67</v>
      </c>
    </row>
    <row r="730" spans="1:11" ht="42" customHeight="1">
      <c r="A730" s="2" t="s">
        <v>2000</v>
      </c>
      <c r="B730" s="2" t="s">
        <v>2001</v>
      </c>
      <c r="C730" s="2" t="s">
        <v>59</v>
      </c>
      <c r="D730" s="2" t="s">
        <v>18</v>
      </c>
      <c r="E730" s="5">
        <v>-29379</v>
      </c>
      <c r="F730" s="3" t="s">
        <v>161</v>
      </c>
      <c r="G730" s="3" t="s">
        <v>162</v>
      </c>
      <c r="H730" s="2" t="s">
        <v>65</v>
      </c>
      <c r="I730" s="2" t="s">
        <v>2002</v>
      </c>
      <c r="J730" s="3" t="str">
        <f>HYPERLINK("https://www.boe.es/gazeta/dias/1819/07/24/pdfs/GMD-1819-89.pdf#page=5","Abrir facsímil")</f>
        <v>Abrir facsímil</v>
      </c>
      <c r="K730" s="3" t="s">
        <v>67</v>
      </c>
    </row>
    <row r="731" spans="1:11" ht="42" customHeight="1">
      <c r="A731" s="2" t="s">
        <v>2003</v>
      </c>
      <c r="B731" s="2" t="s">
        <v>2004</v>
      </c>
      <c r="C731" s="2" t="s">
        <v>26</v>
      </c>
      <c r="D731" s="2" t="s">
        <v>18</v>
      </c>
      <c r="E731" s="5">
        <v>-29271</v>
      </c>
      <c r="F731" s="3" t="s">
        <v>32</v>
      </c>
      <c r="G731" s="3" t="s">
        <v>33</v>
      </c>
      <c r="H731" s="2" t="s">
        <v>65</v>
      </c>
      <c r="I731" s="2" t="s">
        <v>2005</v>
      </c>
      <c r="J731" s="3" t="str">
        <f>HYPERLINK("https://www.boe.es/gazeta/dias/1819/11/09/pdfs/GMD-1819-138.pdf#page=6","Abrir facsímil")</f>
        <v>Abrir facsímil</v>
      </c>
      <c r="K731" s="3" t="s">
        <v>67</v>
      </c>
    </row>
    <row r="732" spans="1:11" ht="42" customHeight="1">
      <c r="A732" s="2" t="s">
        <v>2006</v>
      </c>
      <c r="B732" s="2" t="s">
        <v>2007</v>
      </c>
      <c r="C732" s="2" t="s">
        <v>80</v>
      </c>
      <c r="D732" s="2" t="s">
        <v>81</v>
      </c>
      <c r="E732" s="5">
        <v>-29570</v>
      </c>
      <c r="F732" s="3" t="s">
        <v>2008</v>
      </c>
      <c r="G732" s="3" t="s">
        <v>55</v>
      </c>
      <c r="H732" s="2" t="s">
        <v>65</v>
      </c>
      <c r="I732" s="2" t="s">
        <v>2009</v>
      </c>
      <c r="J732" s="3" t="str">
        <f>HYPERLINK("https://www.boe.es/gazeta/dias/1819/01/14/pdfs/GMD-1819-6.pdf#page=7","Abrir facsímil")</f>
        <v>Abrir facsímil</v>
      </c>
      <c r="K732" s="3" t="s">
        <v>67</v>
      </c>
    </row>
    <row r="733" spans="1:11" ht="42" customHeight="1">
      <c r="A733" s="2" t="s">
        <v>2010</v>
      </c>
      <c r="B733" s="2" t="s">
        <v>2011</v>
      </c>
      <c r="C733" s="2" t="s">
        <v>80</v>
      </c>
      <c r="D733" s="2" t="s">
        <v>81</v>
      </c>
      <c r="E733" s="5">
        <v>-29276</v>
      </c>
      <c r="F733" s="3" t="s">
        <v>54</v>
      </c>
      <c r="G733" s="3" t="s">
        <v>55</v>
      </c>
      <c r="H733" s="2" t="s">
        <v>65</v>
      </c>
      <c r="I733" s="2" t="s">
        <v>2012</v>
      </c>
      <c r="J733" s="3" t="str">
        <f>HYPERLINK("https://www.boe.es/gazeta/dias/1819/11/04/pdfs/GMD-1819-136.pdf#page=7","Abrir facsímil")</f>
        <v>Abrir facsímil</v>
      </c>
      <c r="K733" s="3" t="s">
        <v>67</v>
      </c>
    </row>
    <row r="734" spans="1:11" ht="42" customHeight="1">
      <c r="A734" s="2" t="s">
        <v>2013</v>
      </c>
      <c r="B734" s="2" t="s">
        <v>2014</v>
      </c>
      <c r="C734" s="2" t="s">
        <v>63</v>
      </c>
      <c r="D734" s="2" t="s">
        <v>43</v>
      </c>
      <c r="E734" s="5">
        <v>-29521</v>
      </c>
      <c r="F734" s="3" t="s">
        <v>1002</v>
      </c>
      <c r="G734" s="3" t="s">
        <v>55</v>
      </c>
      <c r="H734" s="2" t="s">
        <v>65</v>
      </c>
      <c r="I734" s="2" t="s">
        <v>2015</v>
      </c>
      <c r="J734" s="3" t="str">
        <f>HYPERLINK("https://www.boe.es/gazeta/dias/1819/03/04/pdfs/GMD-1819-27.pdf#page=7","Abrir facsímil")</f>
        <v>Abrir facsímil</v>
      </c>
      <c r="K734" s="3" t="s">
        <v>67</v>
      </c>
    </row>
    <row r="735" spans="1:11" ht="42" customHeight="1">
      <c r="A735" s="2" t="s">
        <v>2016</v>
      </c>
      <c r="B735" s="2" t="s">
        <v>2017</v>
      </c>
      <c r="C735" s="2" t="s">
        <v>17</v>
      </c>
      <c r="D735" s="2" t="s">
        <v>18</v>
      </c>
      <c r="E735" s="5">
        <v>-29248</v>
      </c>
      <c r="F735" s="3" t="s">
        <v>395</v>
      </c>
      <c r="G735" s="3" t="s">
        <v>33</v>
      </c>
      <c r="H735" s="2" t="s">
        <v>65</v>
      </c>
      <c r="I735" s="2" t="s">
        <v>2018</v>
      </c>
      <c r="J735" s="3" t="str">
        <f>HYPERLINK("https://www.boe.es/gazeta/dias/1819/12/02/pdfs/GMD-1819-148.pdf#page=6","Abrir facsímil")</f>
        <v>Abrir facsímil</v>
      </c>
      <c r="K735" s="3" t="s">
        <v>67</v>
      </c>
    </row>
    <row r="736" spans="1:11" ht="42" customHeight="1">
      <c r="A736" s="2" t="s">
        <v>2019</v>
      </c>
      <c r="B736" s="2" t="s">
        <v>2020</v>
      </c>
      <c r="C736" s="2" t="s">
        <v>63</v>
      </c>
      <c r="D736" s="2" t="s">
        <v>43</v>
      </c>
      <c r="E736" s="5">
        <v>-29521</v>
      </c>
      <c r="F736" s="3" t="s">
        <v>1002</v>
      </c>
      <c r="G736" s="3" t="s">
        <v>55</v>
      </c>
      <c r="H736" s="2" t="s">
        <v>65</v>
      </c>
      <c r="I736" s="2" t="s">
        <v>2021</v>
      </c>
      <c r="J736" s="3" t="str">
        <f>HYPERLINK("https://www.boe.es/gazeta/dias/1819/03/04/pdfs/GMD-1819-27.pdf#page=7","Abrir facsímil")</f>
        <v>Abrir facsímil</v>
      </c>
      <c r="K736" s="3" t="s">
        <v>67</v>
      </c>
    </row>
    <row r="737" spans="1:11" ht="42" customHeight="1">
      <c r="A737" s="2" t="s">
        <v>2022</v>
      </c>
      <c r="B737" s="2" t="s">
        <v>2023</v>
      </c>
      <c r="C737" s="2" t="s">
        <v>80</v>
      </c>
      <c r="D737" s="2" t="s">
        <v>81</v>
      </c>
      <c r="E737" s="5">
        <v>-29297</v>
      </c>
      <c r="F737" s="3" t="s">
        <v>82</v>
      </c>
      <c r="G737" s="3" t="s">
        <v>55</v>
      </c>
      <c r="H737" s="2" t="s">
        <v>65</v>
      </c>
      <c r="I737" s="2" t="s">
        <v>2024</v>
      </c>
      <c r="J737" s="3" t="str">
        <f>HYPERLINK("https://www.boe.es/gazeta/dias/1819/10/14/pdfs/GMD-1819-126.pdf#page=7","Abrir facsímil")</f>
        <v>Abrir facsímil</v>
      </c>
      <c r="K737" s="3" t="s">
        <v>67</v>
      </c>
    </row>
    <row r="738" spans="1:11" ht="42" customHeight="1">
      <c r="A738" s="2" t="s">
        <v>2025</v>
      </c>
      <c r="B738" s="2" t="s">
        <v>2026</v>
      </c>
      <c r="C738" s="2" t="s">
        <v>80</v>
      </c>
      <c r="D738" s="2" t="s">
        <v>81</v>
      </c>
      <c r="E738" s="5">
        <v>-29316</v>
      </c>
      <c r="F738" s="3" t="s">
        <v>166</v>
      </c>
      <c r="G738" s="3" t="s">
        <v>138</v>
      </c>
      <c r="H738" s="2" t="s">
        <v>65</v>
      </c>
      <c r="I738" s="2" t="s">
        <v>2027</v>
      </c>
      <c r="J738" s="3" t="str">
        <f>HYPERLINK("https://www.boe.es/gazeta/dias/1819/09/25/pdfs/GMD-1819-118.pdf#page=12","Abrir facsímil")</f>
        <v>Abrir facsímil</v>
      </c>
      <c r="K738" s="3" t="s">
        <v>67</v>
      </c>
    </row>
    <row r="739" spans="1:11" ht="42" customHeight="1">
      <c r="A739" s="2" t="s">
        <v>2028</v>
      </c>
      <c r="B739" s="2" t="s">
        <v>2029</v>
      </c>
      <c r="C739" s="2" t="s">
        <v>80</v>
      </c>
      <c r="D739" s="2" t="s">
        <v>81</v>
      </c>
      <c r="E739" s="5">
        <v>-29304</v>
      </c>
      <c r="F739" s="3" t="s">
        <v>519</v>
      </c>
      <c r="G739" s="3" t="s">
        <v>552</v>
      </c>
      <c r="H739" s="2" t="s">
        <v>65</v>
      </c>
      <c r="I739" s="2" t="s">
        <v>2030</v>
      </c>
      <c r="J739" s="3" t="str">
        <f>HYPERLINK("https://www.boe.es/gazeta/dias/1819/10/07/pdfs/GMD-1819-123.pdf#page=6","Abrir facsímil")</f>
        <v>Abrir facsímil</v>
      </c>
      <c r="K739" s="3" t="s">
        <v>67</v>
      </c>
    </row>
    <row r="740" spans="1:11" ht="42" customHeight="1">
      <c r="A740" s="2" t="s">
        <v>2031</v>
      </c>
      <c r="B740" s="2" t="s">
        <v>2032</v>
      </c>
      <c r="C740" s="2" t="s">
        <v>26</v>
      </c>
      <c r="D740" s="2" t="s">
        <v>18</v>
      </c>
      <c r="E740" s="5">
        <v>-29316</v>
      </c>
      <c r="F740" s="3" t="s">
        <v>166</v>
      </c>
      <c r="G740" s="3" t="s">
        <v>138</v>
      </c>
      <c r="H740" s="2" t="s">
        <v>65</v>
      </c>
      <c r="I740" s="2" t="s">
        <v>2033</v>
      </c>
      <c r="J740" s="3" t="str">
        <f>HYPERLINK("https://www.boe.es/gazeta/dias/1819/09/25/pdfs/GMD-1819-118.pdf#page=12","Abrir facsímil")</f>
        <v>Abrir facsímil</v>
      </c>
      <c r="K740" s="3" t="s">
        <v>67</v>
      </c>
    </row>
    <row r="741" spans="1:11" ht="42" customHeight="1">
      <c r="A741" s="2" t="s">
        <v>2034</v>
      </c>
      <c r="B741" s="2" t="s">
        <v>2035</v>
      </c>
      <c r="C741" s="2" t="s">
        <v>63</v>
      </c>
      <c r="D741" s="2" t="s">
        <v>43</v>
      </c>
      <c r="E741" s="5">
        <v>-29537</v>
      </c>
      <c r="F741" s="3" t="s">
        <v>593</v>
      </c>
      <c r="G741" s="3" t="s">
        <v>20</v>
      </c>
      <c r="H741" s="2" t="s">
        <v>65</v>
      </c>
      <c r="I741" s="2" t="s">
        <v>2036</v>
      </c>
      <c r="J741" s="3" t="str">
        <f>HYPERLINK("https://www.boe.es/gazeta/dias/1819/02/16/pdfs/GMD-1819-20.pdf#page=10","Abrir facsímil")</f>
        <v>Abrir facsímil</v>
      </c>
      <c r="K741" s="3" t="s">
        <v>67</v>
      </c>
    </row>
    <row r="742" spans="1:11" ht="42" customHeight="1">
      <c r="A742" s="2" t="s">
        <v>2037</v>
      </c>
      <c r="B742" s="2" t="s">
        <v>2038</v>
      </c>
      <c r="C742" s="2" t="s">
        <v>59</v>
      </c>
      <c r="D742" s="2" t="s">
        <v>18</v>
      </c>
      <c r="E742" s="5">
        <v>-29449</v>
      </c>
      <c r="F742" s="3" t="s">
        <v>771</v>
      </c>
      <c r="G742" s="3" t="s">
        <v>55</v>
      </c>
      <c r="H742" s="2" t="s">
        <v>65</v>
      </c>
      <c r="I742" s="2" t="s">
        <v>2039</v>
      </c>
      <c r="J742" s="3" t="str">
        <f>HYPERLINK("https://www.boe.es/gazeta/dias/1819/05/15/pdfs/GMD-1819-58.pdf#page=7","Abrir facsímil")</f>
        <v>Abrir facsímil</v>
      </c>
      <c r="K742" s="3" t="s">
        <v>67</v>
      </c>
    </row>
    <row r="743" spans="1:11" ht="42" customHeight="1">
      <c r="A743" s="2" t="s">
        <v>2040</v>
      </c>
      <c r="B743" s="2" t="s">
        <v>2041</v>
      </c>
      <c r="C743" s="2" t="s">
        <v>136</v>
      </c>
      <c r="D743" s="2" t="s">
        <v>18</v>
      </c>
      <c r="E743" s="5">
        <v>-29360</v>
      </c>
      <c r="F743" s="3" t="s">
        <v>182</v>
      </c>
      <c r="G743" s="3" t="s">
        <v>28</v>
      </c>
      <c r="H743" s="2" t="s">
        <v>65</v>
      </c>
      <c r="I743" s="2" t="s">
        <v>2042</v>
      </c>
      <c r="J743" s="3" t="str">
        <f>HYPERLINK("https://www.boe.es/gazeta/dias/1819/08/12/pdfs/GMD-1819-97.pdf#page=8","Abrir facsímil")</f>
        <v>Abrir facsímil</v>
      </c>
      <c r="K743" s="3" t="s">
        <v>67</v>
      </c>
    </row>
    <row r="744" spans="1:11" ht="42" customHeight="1">
      <c r="A744" s="2" t="s">
        <v>2043</v>
      </c>
      <c r="B744" s="2" t="s">
        <v>2044</v>
      </c>
      <c r="C744" s="2" t="s">
        <v>80</v>
      </c>
      <c r="D744" s="2" t="s">
        <v>81</v>
      </c>
      <c r="E744" s="5">
        <v>-29547</v>
      </c>
      <c r="F744" s="3" t="s">
        <v>238</v>
      </c>
      <c r="G744" s="3" t="s">
        <v>55</v>
      </c>
      <c r="H744" s="2" t="s">
        <v>65</v>
      </c>
      <c r="I744" s="2" t="s">
        <v>2045</v>
      </c>
      <c r="J744" s="3" t="str">
        <f>HYPERLINK("https://www.boe.es/gazeta/dias/1819/02/06/pdfs/GMD-1819-16.pdf#page=7","Abrir facsímil")</f>
        <v>Abrir facsímil</v>
      </c>
      <c r="K744" s="3" t="s">
        <v>67</v>
      </c>
    </row>
    <row r="745" spans="1:11" ht="42" customHeight="1">
      <c r="A745" s="2" t="s">
        <v>2046</v>
      </c>
      <c r="B745" s="2" t="s">
        <v>2047</v>
      </c>
      <c r="C745" s="2" t="s">
        <v>80</v>
      </c>
      <c r="D745" s="2" t="s">
        <v>81</v>
      </c>
      <c r="E745" s="5">
        <v>-29521</v>
      </c>
      <c r="F745" s="3" t="s">
        <v>1002</v>
      </c>
      <c r="G745" s="3" t="s">
        <v>33</v>
      </c>
      <c r="H745" s="2" t="s">
        <v>65</v>
      </c>
      <c r="I745" s="2" t="s">
        <v>2048</v>
      </c>
      <c r="J745" s="3" t="str">
        <f>HYPERLINK("https://www.boe.es/gazeta/dias/1819/03/04/pdfs/GMD-1819-27.pdf#page=6","Abrir facsímil")</f>
        <v>Abrir facsímil</v>
      </c>
      <c r="K745" s="3" t="s">
        <v>67</v>
      </c>
    </row>
    <row r="746" spans="1:11" ht="42" customHeight="1">
      <c r="A746" s="2" t="s">
        <v>2049</v>
      </c>
      <c r="B746" s="2" t="s">
        <v>2050</v>
      </c>
      <c r="C746" s="2" t="s">
        <v>80</v>
      </c>
      <c r="D746" s="2" t="s">
        <v>81</v>
      </c>
      <c r="E746" s="5">
        <v>-29346</v>
      </c>
      <c r="F746" s="3" t="s">
        <v>718</v>
      </c>
      <c r="G746" s="3" t="s">
        <v>33</v>
      </c>
      <c r="H746" s="2" t="s">
        <v>65</v>
      </c>
      <c r="I746" s="2" t="s">
        <v>2051</v>
      </c>
      <c r="J746" s="3" t="str">
        <f>HYPERLINK("https://www.boe.es/gazeta/dias/1819/08/26/pdfs/GMD-1819-103.pdf#page=6","Abrir facsímil")</f>
        <v>Abrir facsímil</v>
      </c>
      <c r="K746" s="3" t="s">
        <v>67</v>
      </c>
    </row>
    <row r="747" spans="1:11" ht="42" customHeight="1">
      <c r="A747" s="2" t="s">
        <v>2052</v>
      </c>
      <c r="B747" s="2" t="s">
        <v>2053</v>
      </c>
      <c r="C747" s="2" t="s">
        <v>17</v>
      </c>
      <c r="D747" s="2" t="s">
        <v>18</v>
      </c>
      <c r="E747" s="5">
        <v>-29358</v>
      </c>
      <c r="F747" s="3" t="s">
        <v>170</v>
      </c>
      <c r="G747" s="3" t="s">
        <v>38</v>
      </c>
      <c r="H747" s="2" t="s">
        <v>65</v>
      </c>
      <c r="I747" s="2" t="s">
        <v>2054</v>
      </c>
      <c r="J747" s="3" t="str">
        <f>HYPERLINK("https://www.boe.es/gazeta/dias/1819/08/14/pdfs/GMD-1819-98.pdf#page=5","Abrir facsímil")</f>
        <v>Abrir facsímil</v>
      </c>
      <c r="K747" s="3" t="s">
        <v>67</v>
      </c>
    </row>
    <row r="748" spans="1:11" ht="42" customHeight="1">
      <c r="A748" s="2" t="s">
        <v>2055</v>
      </c>
      <c r="B748" s="2" t="s">
        <v>2056</v>
      </c>
      <c r="C748" s="2" t="s">
        <v>26</v>
      </c>
      <c r="D748" s="2" t="s">
        <v>18</v>
      </c>
      <c r="E748" s="5">
        <v>-29411</v>
      </c>
      <c r="F748" s="3" t="s">
        <v>317</v>
      </c>
      <c r="G748" s="3" t="s">
        <v>695</v>
      </c>
      <c r="H748" s="2" t="s">
        <v>21</v>
      </c>
      <c r="I748" s="2" t="s">
        <v>2057</v>
      </c>
      <c r="J748" s="3" t="str">
        <f>HYPERLINK("https://www.boe.es/gazeta/dias/1819/06/22/pdfs/GMD-1819-75.pdf#page=8","Abrir facsímil")</f>
        <v>Abrir facsímil</v>
      </c>
      <c r="K748" s="3" t="s">
        <v>23</v>
      </c>
    </row>
    <row r="749" spans="1:11" ht="42" customHeight="1">
      <c r="A749" s="2" t="s">
        <v>2058</v>
      </c>
      <c r="B749" s="2" t="s">
        <v>2059</v>
      </c>
      <c r="C749" s="2" t="s">
        <v>80</v>
      </c>
      <c r="D749" s="2" t="s">
        <v>81</v>
      </c>
      <c r="E749" s="5">
        <v>-29470</v>
      </c>
      <c r="F749" s="3" t="s">
        <v>1188</v>
      </c>
      <c r="G749" s="3" t="s">
        <v>38</v>
      </c>
      <c r="H749" s="2" t="s">
        <v>65</v>
      </c>
      <c r="I749" s="2" t="s">
        <v>2060</v>
      </c>
      <c r="J749" s="3" t="str">
        <f>HYPERLINK("https://www.boe.es/gazeta/dias/1819/04/24/pdfs/GMD-1819-49.pdf#page=5","Abrir facsímil")</f>
        <v>Abrir facsímil</v>
      </c>
      <c r="K749" s="3" t="s">
        <v>67</v>
      </c>
    </row>
    <row r="750" spans="1:11" ht="42" customHeight="1">
      <c r="A750" s="2" t="s">
        <v>2058</v>
      </c>
      <c r="B750" s="2" t="s">
        <v>2059</v>
      </c>
      <c r="C750" s="2" t="s">
        <v>59</v>
      </c>
      <c r="D750" s="2" t="s">
        <v>18</v>
      </c>
      <c r="E750" s="5">
        <v>-29470</v>
      </c>
      <c r="F750" s="3" t="s">
        <v>1188</v>
      </c>
      <c r="G750" s="3" t="s">
        <v>33</v>
      </c>
      <c r="H750" s="2" t="s">
        <v>65</v>
      </c>
      <c r="I750" s="2" t="s">
        <v>2061</v>
      </c>
      <c r="J750" s="3" t="str">
        <f>HYPERLINK("https://www.boe.es/gazeta/dias/1819/04/24/pdfs/GMD-1819-49.pdf#page=6","Abrir facsímil")</f>
        <v>Abrir facsímil</v>
      </c>
      <c r="K750" s="3" t="s">
        <v>67</v>
      </c>
    </row>
    <row r="751" spans="1:11" ht="42" customHeight="1">
      <c r="A751" s="2" t="s">
        <v>2062</v>
      </c>
      <c r="B751" s="2" t="s">
        <v>2063</v>
      </c>
      <c r="C751" s="2" t="s">
        <v>26</v>
      </c>
      <c r="D751" s="2" t="s">
        <v>18</v>
      </c>
      <c r="E751" s="5">
        <v>-29565</v>
      </c>
      <c r="F751" s="3" t="s">
        <v>293</v>
      </c>
      <c r="G751" s="3" t="s">
        <v>1608</v>
      </c>
      <c r="H751" s="2" t="s">
        <v>65</v>
      </c>
      <c r="I751" s="2" t="s">
        <v>2064</v>
      </c>
      <c r="J751" s="3" t="str">
        <f>HYPERLINK("https://www.boe.es/gazeta/dias/1819/01/19/pdfs/GMD-1819-8.pdf#page=8","Abrir facsímil")</f>
        <v>Abrir facsímil</v>
      </c>
      <c r="K751" s="3" t="s">
        <v>67</v>
      </c>
    </row>
    <row r="752" spans="1:11" ht="42" customHeight="1">
      <c r="A752" s="2" t="s">
        <v>2065</v>
      </c>
      <c r="B752" s="2" t="s">
        <v>2066</v>
      </c>
      <c r="C752" s="2" t="s">
        <v>59</v>
      </c>
      <c r="D752" s="2" t="s">
        <v>18</v>
      </c>
      <c r="E752" s="5">
        <v>-29355</v>
      </c>
      <c r="F752" s="3" t="s">
        <v>347</v>
      </c>
      <c r="G752" s="3" t="s">
        <v>348</v>
      </c>
      <c r="H752" s="2" t="s">
        <v>65</v>
      </c>
      <c r="I752" s="2" t="s">
        <v>2067</v>
      </c>
      <c r="J752" s="3" t="str">
        <f>HYPERLINK("https://www.boe.es/gazeta/dias/1819/08/17/pdfs/GMD-1819-99.pdf#page=6","Abrir facsímil")</f>
        <v>Abrir facsímil</v>
      </c>
      <c r="K752" s="3" t="s">
        <v>67</v>
      </c>
    </row>
    <row r="753" spans="1:11" ht="42" customHeight="1">
      <c r="A753" s="2" t="s">
        <v>2068</v>
      </c>
      <c r="B753" s="2" t="s">
        <v>2069</v>
      </c>
      <c r="C753" s="2" t="s">
        <v>59</v>
      </c>
      <c r="D753" s="2" t="s">
        <v>18</v>
      </c>
      <c r="E753" s="5">
        <v>-29346</v>
      </c>
      <c r="F753" s="3" t="s">
        <v>718</v>
      </c>
      <c r="G753" s="3" t="s">
        <v>33</v>
      </c>
      <c r="H753" s="2" t="s">
        <v>65</v>
      </c>
      <c r="I753" s="2" t="s">
        <v>2070</v>
      </c>
      <c r="J753" s="3" t="str">
        <f>HYPERLINK("https://www.boe.es/gazeta/dias/1819/08/26/pdfs/GMD-1819-103.pdf#page=6","Abrir facsímil")</f>
        <v>Abrir facsímil</v>
      </c>
      <c r="K753" s="3" t="s">
        <v>67</v>
      </c>
    </row>
    <row r="754" spans="1:11" ht="42" customHeight="1">
      <c r="A754" s="2" t="s">
        <v>2071</v>
      </c>
      <c r="B754" s="2" t="s">
        <v>2072</v>
      </c>
      <c r="C754" s="2" t="s">
        <v>80</v>
      </c>
      <c r="D754" s="2" t="s">
        <v>81</v>
      </c>
      <c r="E754" s="5">
        <v>-29248</v>
      </c>
      <c r="F754" s="3" t="s">
        <v>395</v>
      </c>
      <c r="G754" s="3" t="s">
        <v>456</v>
      </c>
      <c r="H754" s="2" t="s">
        <v>65</v>
      </c>
      <c r="I754" s="2" t="s">
        <v>2073</v>
      </c>
      <c r="J754" s="3" t="str">
        <f>HYPERLINK("https://www.boe.es/gazeta/dias/1819/12/02/pdfs/GMD-1819-148.pdf#page=9","Abrir facsímil")</f>
        <v>Abrir facsímil</v>
      </c>
      <c r="K754" s="3" t="s">
        <v>67</v>
      </c>
    </row>
    <row r="755" spans="1:11" ht="42" customHeight="1">
      <c r="A755" s="2" t="s">
        <v>2074</v>
      </c>
      <c r="B755" s="2" t="s">
        <v>2075</v>
      </c>
      <c r="C755" s="2" t="s">
        <v>80</v>
      </c>
      <c r="D755" s="2" t="s">
        <v>81</v>
      </c>
      <c r="E755" s="5">
        <v>-29479</v>
      </c>
      <c r="F755" s="3" t="s">
        <v>979</v>
      </c>
      <c r="G755" s="3" t="s">
        <v>33</v>
      </c>
      <c r="H755" s="2" t="s">
        <v>65</v>
      </c>
      <c r="I755" s="2" t="s">
        <v>2076</v>
      </c>
      <c r="J755" s="3" t="str">
        <f>HYPERLINK("https://www.boe.es/gazeta/dias/1819/04/15/pdfs/GMD-1819-45.pdf#page=6","Abrir facsímil")</f>
        <v>Abrir facsímil</v>
      </c>
      <c r="K755" s="3" t="s">
        <v>67</v>
      </c>
    </row>
    <row r="756" spans="1:11" ht="42" customHeight="1">
      <c r="A756" s="2" t="s">
        <v>2077</v>
      </c>
      <c r="B756" s="2" t="s">
        <v>2078</v>
      </c>
      <c r="C756" s="2" t="s">
        <v>26</v>
      </c>
      <c r="D756" s="2" t="s">
        <v>454</v>
      </c>
      <c r="E756" s="5">
        <v>-29287</v>
      </c>
      <c r="F756" s="3" t="s">
        <v>455</v>
      </c>
      <c r="G756" s="3" t="s">
        <v>20</v>
      </c>
      <c r="H756" s="2" t="s">
        <v>65</v>
      </c>
      <c r="I756" s="2" t="s">
        <v>2079</v>
      </c>
      <c r="J756" s="3" t="str">
        <f>HYPERLINK("https://www.boe.es/gazeta/dias/1819/10/24/pdfs/GMD-1819-131E.pdf#page=10","Abrir facsímil")</f>
        <v>Abrir facsímil</v>
      </c>
      <c r="K756" s="3" t="s">
        <v>67</v>
      </c>
    </row>
    <row r="757" spans="1:11" ht="42" customHeight="1">
      <c r="A757" s="2" t="s">
        <v>2080</v>
      </c>
      <c r="B757" s="2" t="s">
        <v>2081</v>
      </c>
      <c r="C757" s="2" t="s">
        <v>80</v>
      </c>
      <c r="D757" s="2" t="s">
        <v>81</v>
      </c>
      <c r="E757" s="5">
        <v>-29309</v>
      </c>
      <c r="F757" s="3" t="s">
        <v>476</v>
      </c>
      <c r="G757" s="3" t="s">
        <v>296</v>
      </c>
      <c r="H757" s="2" t="s">
        <v>65</v>
      </c>
      <c r="I757" s="2" t="s">
        <v>2082</v>
      </c>
      <c r="J757" s="3" t="str">
        <f>HYPERLINK("https://www.boe.es/gazeta/dias/1819/10/02/pdfs/GMD-1819-121.pdf#page=4","Abrir facsímil")</f>
        <v>Abrir facsímil</v>
      </c>
      <c r="K757" s="3" t="s">
        <v>67</v>
      </c>
    </row>
    <row r="758" spans="1:11" ht="42" customHeight="1">
      <c r="A758" s="2" t="s">
        <v>2083</v>
      </c>
      <c r="B758" s="2" t="s">
        <v>2084</v>
      </c>
      <c r="C758" s="2" t="s">
        <v>80</v>
      </c>
      <c r="D758" s="2" t="s">
        <v>81</v>
      </c>
      <c r="E758" s="5">
        <v>-29472</v>
      </c>
      <c r="F758" s="3" t="s">
        <v>393</v>
      </c>
      <c r="G758" s="3" t="s">
        <v>33</v>
      </c>
      <c r="H758" s="2" t="s">
        <v>65</v>
      </c>
      <c r="I758" s="2" t="s">
        <v>2085</v>
      </c>
      <c r="J758" s="3" t="str">
        <f>HYPERLINK("https://www.boe.es/gazeta/dias/1819/04/22/pdfs/GMD-1819-48.pdf#page=6","Abrir facsímil")</f>
        <v>Abrir facsímil</v>
      </c>
      <c r="K758" s="3" t="s">
        <v>67</v>
      </c>
    </row>
    <row r="759" spans="1:11" ht="42" customHeight="1">
      <c r="A759" s="2" t="s">
        <v>2086</v>
      </c>
      <c r="B759" s="2" t="s">
        <v>2086</v>
      </c>
      <c r="C759" s="2" t="s">
        <v>215</v>
      </c>
      <c r="D759" s="2" t="s">
        <v>18</v>
      </c>
      <c r="E759" s="5">
        <v>-29565</v>
      </c>
      <c r="F759" s="3" t="s">
        <v>293</v>
      </c>
      <c r="G759" s="3" t="s">
        <v>1608</v>
      </c>
      <c r="H759" s="2" t="s">
        <v>65</v>
      </c>
      <c r="I759" s="2" t="s">
        <v>2087</v>
      </c>
      <c r="J759" s="3" t="str">
        <f>HYPERLINK("https://www.boe.es/gazeta/dias/1819/01/19/pdfs/GMD-1819-8.pdf#page=8","Abrir facsímil")</f>
        <v>Abrir facsímil</v>
      </c>
      <c r="K759" s="3" t="s">
        <v>67</v>
      </c>
    </row>
    <row r="760" spans="1:11" ht="42" customHeight="1">
      <c r="A760" s="2" t="s">
        <v>2088</v>
      </c>
      <c r="B760" s="2" t="s">
        <v>2089</v>
      </c>
      <c r="C760" s="2" t="s">
        <v>59</v>
      </c>
      <c r="D760" s="2" t="s">
        <v>18</v>
      </c>
      <c r="E760" s="5">
        <v>-29491</v>
      </c>
      <c r="F760" s="3" t="s">
        <v>1604</v>
      </c>
      <c r="G760" s="3" t="s">
        <v>33</v>
      </c>
      <c r="H760" s="2" t="s">
        <v>65</v>
      </c>
      <c r="I760" s="2" t="s">
        <v>2090</v>
      </c>
      <c r="J760" s="3" t="str">
        <f>HYPERLINK("https://www.boe.es/gazeta/dias/1819/04/03/pdfs/GMD-1819-40.pdf#page=6","Abrir facsímil")</f>
        <v>Abrir facsímil</v>
      </c>
      <c r="K760" s="3" t="s">
        <v>67</v>
      </c>
    </row>
    <row r="761" spans="1:11" ht="42" customHeight="1">
      <c r="A761" s="2" t="s">
        <v>2091</v>
      </c>
      <c r="B761" s="2" t="s">
        <v>2092</v>
      </c>
      <c r="C761" s="2" t="s">
        <v>80</v>
      </c>
      <c r="D761" s="2" t="s">
        <v>81</v>
      </c>
      <c r="E761" s="5">
        <v>-29390</v>
      </c>
      <c r="F761" s="3" t="s">
        <v>263</v>
      </c>
      <c r="G761" s="3" t="s">
        <v>38</v>
      </c>
      <c r="H761" s="2" t="s">
        <v>65</v>
      </c>
      <c r="I761" s="2" t="s">
        <v>2093</v>
      </c>
      <c r="J761" s="3" t="str">
        <f>HYPERLINK("https://www.boe.es/gazeta/dias/1819/07/13/pdfs/GMD-1819-84.pdf#page=5","Abrir facsímil")</f>
        <v>Abrir facsímil</v>
      </c>
      <c r="K761" s="3" t="s">
        <v>67</v>
      </c>
    </row>
    <row r="762" spans="1:11" ht="42" customHeight="1">
      <c r="A762" s="2" t="s">
        <v>2094</v>
      </c>
      <c r="B762" s="2" t="s">
        <v>2095</v>
      </c>
      <c r="C762" s="2" t="s">
        <v>80</v>
      </c>
      <c r="D762" s="2" t="s">
        <v>81</v>
      </c>
      <c r="E762" s="5">
        <v>-29402</v>
      </c>
      <c r="F762" s="3" t="s">
        <v>1091</v>
      </c>
      <c r="G762" s="3" t="s">
        <v>38</v>
      </c>
      <c r="H762" s="2" t="s">
        <v>65</v>
      </c>
      <c r="I762" s="2" t="s">
        <v>2096</v>
      </c>
      <c r="J762" s="3" t="str">
        <f>HYPERLINK("https://www.boe.es/gazeta/dias/1819/07/01/pdfs/GMD-1819-79.pdf#page=5","Abrir facsímil")</f>
        <v>Abrir facsímil</v>
      </c>
      <c r="K762" s="3" t="s">
        <v>67</v>
      </c>
    </row>
    <row r="763" spans="1:11" ht="42" customHeight="1">
      <c r="A763" s="2" t="s">
        <v>2097</v>
      </c>
      <c r="B763" s="2" t="s">
        <v>2098</v>
      </c>
      <c r="C763" s="2" t="s">
        <v>80</v>
      </c>
      <c r="D763" s="2" t="s">
        <v>81</v>
      </c>
      <c r="E763" s="5">
        <v>-29243</v>
      </c>
      <c r="F763" s="3" t="s">
        <v>2099</v>
      </c>
      <c r="G763" s="3" t="s">
        <v>2100</v>
      </c>
      <c r="H763" s="2" t="s">
        <v>65</v>
      </c>
      <c r="I763" s="2" t="s">
        <v>2101</v>
      </c>
      <c r="J763" s="3" t="str">
        <f>HYPERLINK("https://www.boe.es/gazeta/dias/1819/12/07/pdfs/GMD-1819-150.pdf#page=6","Abrir facsímil")</f>
        <v>Abrir facsímil</v>
      </c>
      <c r="K763" s="3" t="s">
        <v>67</v>
      </c>
    </row>
    <row r="764" spans="1:11" ht="42" customHeight="1">
      <c r="A764" s="2" t="s">
        <v>2102</v>
      </c>
      <c r="B764" s="2" t="s">
        <v>2103</v>
      </c>
      <c r="C764" s="2" t="s">
        <v>80</v>
      </c>
      <c r="D764" s="2" t="s">
        <v>81</v>
      </c>
      <c r="E764" s="5">
        <v>-29435</v>
      </c>
      <c r="F764" s="3" t="s">
        <v>191</v>
      </c>
      <c r="G764" s="3" t="s">
        <v>296</v>
      </c>
      <c r="H764" s="2" t="s">
        <v>65</v>
      </c>
      <c r="I764" s="2" t="s">
        <v>2104</v>
      </c>
      <c r="J764" s="3" t="str">
        <f>HYPERLINK("https://www.boe.es/gazeta/dias/1819/05/29/pdfs/GMD-1819-64.pdf#page=4","Abrir facsímil")</f>
        <v>Abrir facsímil</v>
      </c>
      <c r="K764" s="3" t="s">
        <v>67</v>
      </c>
    </row>
    <row r="765" spans="1:11" ht="42" customHeight="1">
      <c r="A765" s="2" t="s">
        <v>2105</v>
      </c>
      <c r="B765" s="2" t="s">
        <v>2106</v>
      </c>
      <c r="C765" s="2" t="s">
        <v>59</v>
      </c>
      <c r="D765" s="2" t="s">
        <v>18</v>
      </c>
      <c r="E765" s="5">
        <v>-29351</v>
      </c>
      <c r="F765" s="3" t="s">
        <v>101</v>
      </c>
      <c r="G765" s="3" t="s">
        <v>33</v>
      </c>
      <c r="H765" s="2" t="s">
        <v>65</v>
      </c>
      <c r="I765" s="2" t="s">
        <v>2107</v>
      </c>
      <c r="J765" s="3" t="str">
        <f>HYPERLINK("https://www.boe.es/gazeta/dias/1819/08/21/pdfs/GMD-1819-101.pdf#page=6","Abrir facsímil")</f>
        <v>Abrir facsímil</v>
      </c>
      <c r="K765" s="3" t="s">
        <v>67</v>
      </c>
    </row>
    <row r="766" spans="1:11" ht="42" customHeight="1">
      <c r="A766" s="2" t="s">
        <v>2108</v>
      </c>
      <c r="B766" s="2" t="s">
        <v>2109</v>
      </c>
      <c r="C766" s="2" t="s">
        <v>26</v>
      </c>
      <c r="D766" s="2" t="s">
        <v>18</v>
      </c>
      <c r="E766" s="5">
        <v>-29234</v>
      </c>
      <c r="F766" s="3" t="s">
        <v>343</v>
      </c>
      <c r="G766" s="3" t="s">
        <v>55</v>
      </c>
      <c r="H766" s="2" t="s">
        <v>65</v>
      </c>
      <c r="I766" s="2" t="s">
        <v>2110</v>
      </c>
      <c r="J766" s="3" t="str">
        <f>HYPERLINK("https://www.boe.es/gazeta/dias/1819/12/16/pdfs/GMD-1819-154.pdf#page=7","Abrir facsímil")</f>
        <v>Abrir facsímil</v>
      </c>
      <c r="K766" s="3" t="s">
        <v>67</v>
      </c>
    </row>
    <row r="767" spans="1:11" ht="42" customHeight="1">
      <c r="A767" s="2" t="s">
        <v>2111</v>
      </c>
      <c r="B767" s="2" t="s">
        <v>2111</v>
      </c>
      <c r="C767" s="2" t="s">
        <v>80</v>
      </c>
      <c r="D767" s="2" t="s">
        <v>81</v>
      </c>
      <c r="E767" s="5">
        <v>-29463</v>
      </c>
      <c r="F767" s="3" t="s">
        <v>114</v>
      </c>
      <c r="G767" s="3" t="s">
        <v>259</v>
      </c>
      <c r="H767" s="2" t="s">
        <v>65</v>
      </c>
      <c r="I767" s="2" t="s">
        <v>2112</v>
      </c>
      <c r="J767" s="3" t="str">
        <f>HYPERLINK("https://www.boe.es/gazeta/dias/1819/05/01/pdfs/GMD-1819-52.pdf#page=2","Abrir facsímil")</f>
        <v>Abrir facsímil</v>
      </c>
      <c r="K767" s="3" t="s">
        <v>67</v>
      </c>
    </row>
    <row r="768" spans="1:11" ht="42" customHeight="1">
      <c r="A768" s="2" t="s">
        <v>2113</v>
      </c>
      <c r="B768" s="2" t="s">
        <v>2113</v>
      </c>
      <c r="C768" s="2" t="s">
        <v>63</v>
      </c>
      <c r="D768" s="2" t="s">
        <v>43</v>
      </c>
      <c r="E768" s="5">
        <v>-29577</v>
      </c>
      <c r="F768" s="3" t="s">
        <v>1008</v>
      </c>
      <c r="G768" s="3" t="s">
        <v>296</v>
      </c>
      <c r="H768" s="2" t="s">
        <v>65</v>
      </c>
      <c r="I768" s="2" t="s">
        <v>2114</v>
      </c>
      <c r="J768" s="3" t="str">
        <f>HYPERLINK("https://www.boe.es/gazeta/dias/1819/01/07/pdfs/GMD-1819-3.pdf#page=4","Abrir facsímil")</f>
        <v>Abrir facsímil</v>
      </c>
      <c r="K768" s="3" t="s">
        <v>67</v>
      </c>
    </row>
    <row r="769" spans="1:11" ht="42" customHeight="1">
      <c r="A769" s="2" t="s">
        <v>2113</v>
      </c>
      <c r="B769" s="2" t="s">
        <v>2113</v>
      </c>
      <c r="C769" s="2" t="s">
        <v>246</v>
      </c>
      <c r="D769" s="2" t="s">
        <v>18</v>
      </c>
      <c r="E769" s="5">
        <v>-29502</v>
      </c>
      <c r="F769" s="3" t="s">
        <v>86</v>
      </c>
      <c r="G769" s="3" t="s">
        <v>102</v>
      </c>
      <c r="H769" s="2" t="s">
        <v>65</v>
      </c>
      <c r="I769" s="2" t="s">
        <v>2115</v>
      </c>
      <c r="J769" s="3" t="str">
        <f>HYPERLINK("https://www.boe.es/gazeta/dias/1819/03/23/pdfs/GMD-1819-35.pdf#page=3","Abrir facsímil")</f>
        <v>Abrir facsímil</v>
      </c>
      <c r="K769" s="3" t="s">
        <v>67</v>
      </c>
    </row>
    <row r="770" spans="1:11" ht="42" customHeight="1">
      <c r="A770" s="2" t="s">
        <v>2116</v>
      </c>
      <c r="B770" s="2" t="s">
        <v>2117</v>
      </c>
      <c r="C770" s="2" t="s">
        <v>63</v>
      </c>
      <c r="D770" s="2" t="s">
        <v>43</v>
      </c>
      <c r="E770" s="5">
        <v>-29530</v>
      </c>
      <c r="F770" s="3" t="s">
        <v>202</v>
      </c>
      <c r="G770" s="3" t="s">
        <v>20</v>
      </c>
      <c r="H770" s="2" t="s">
        <v>65</v>
      </c>
      <c r="I770" s="2" t="s">
        <v>2118</v>
      </c>
      <c r="J770" s="3" t="str">
        <f>HYPERLINK("https://www.boe.es/gazeta/dias/1819/02/23/pdfs/GMD-1819-23.pdf#page=10","Abrir facsímil")</f>
        <v>Abrir facsímil</v>
      </c>
      <c r="K770" s="3" t="s">
        <v>67</v>
      </c>
    </row>
    <row r="771" spans="1:11" ht="42" customHeight="1">
      <c r="A771" s="2" t="s">
        <v>2119</v>
      </c>
      <c r="B771" s="2" t="s">
        <v>2120</v>
      </c>
      <c r="C771" s="2" t="s">
        <v>63</v>
      </c>
      <c r="D771" s="2" t="s">
        <v>43</v>
      </c>
      <c r="E771" s="5">
        <v>-29281</v>
      </c>
      <c r="F771" s="3" t="s">
        <v>19</v>
      </c>
      <c r="G771" s="3" t="s">
        <v>55</v>
      </c>
      <c r="H771" s="2" t="s">
        <v>65</v>
      </c>
      <c r="I771" s="2" t="s">
        <v>2121</v>
      </c>
      <c r="J771" s="3" t="str">
        <f>HYPERLINK("https://www.boe.es/gazeta/dias/1819/10/30/pdfs/GMD-1819-134.pdf#page=7","Abrir facsímil")</f>
        <v>Abrir facsímil</v>
      </c>
      <c r="K771" s="3" t="s">
        <v>67</v>
      </c>
    </row>
    <row r="772" spans="1:11" ht="42" customHeight="1">
      <c r="A772" s="2" t="s">
        <v>2122</v>
      </c>
      <c r="B772" s="2" t="s">
        <v>2123</v>
      </c>
      <c r="C772" s="2" t="s">
        <v>63</v>
      </c>
      <c r="D772" s="2" t="s">
        <v>43</v>
      </c>
      <c r="E772" s="5">
        <v>-29530</v>
      </c>
      <c r="F772" s="3" t="s">
        <v>202</v>
      </c>
      <c r="G772" s="3" t="s">
        <v>20</v>
      </c>
      <c r="H772" s="2" t="s">
        <v>65</v>
      </c>
      <c r="I772" s="2" t="s">
        <v>2124</v>
      </c>
      <c r="J772" s="3" t="str">
        <f>HYPERLINK("https://www.boe.es/gazeta/dias/1819/02/23/pdfs/GMD-1819-23.pdf#page=10","Abrir facsímil")</f>
        <v>Abrir facsímil</v>
      </c>
      <c r="K772" s="3" t="s">
        <v>67</v>
      </c>
    </row>
    <row r="773" spans="1:11" ht="42" customHeight="1">
      <c r="A773" s="2" t="s">
        <v>2125</v>
      </c>
      <c r="B773" s="2" t="s">
        <v>2126</v>
      </c>
      <c r="C773" s="2" t="s">
        <v>80</v>
      </c>
      <c r="D773" s="2" t="s">
        <v>454</v>
      </c>
      <c r="E773" s="5">
        <v>-29287</v>
      </c>
      <c r="F773" s="3" t="s">
        <v>455</v>
      </c>
      <c r="G773" s="3" t="s">
        <v>481</v>
      </c>
      <c r="H773" s="2" t="s">
        <v>65</v>
      </c>
      <c r="I773" s="2" t="s">
        <v>2127</v>
      </c>
      <c r="J773" s="3" t="str">
        <f>HYPERLINK("https://www.boe.es/gazeta/dias/1819/10/24/pdfs/GMD-1819-131E.pdf#page=8","Abrir facsímil")</f>
        <v>Abrir facsímil</v>
      </c>
      <c r="K773" s="3" t="s">
        <v>67</v>
      </c>
    </row>
    <row r="774" spans="1:11" ht="42" customHeight="1">
      <c r="A774" s="2" t="s">
        <v>2128</v>
      </c>
      <c r="B774" s="2" t="s">
        <v>2129</v>
      </c>
      <c r="C774" s="2" t="s">
        <v>59</v>
      </c>
      <c r="D774" s="2" t="s">
        <v>18</v>
      </c>
      <c r="E774" s="5">
        <v>-29379</v>
      </c>
      <c r="F774" s="3" t="s">
        <v>161</v>
      </c>
      <c r="G774" s="3" t="s">
        <v>162</v>
      </c>
      <c r="H774" s="2" t="s">
        <v>65</v>
      </c>
      <c r="I774" s="2" t="s">
        <v>2130</v>
      </c>
      <c r="J774" s="3" t="str">
        <f>HYPERLINK("https://www.boe.es/gazeta/dias/1819/07/24/pdfs/GMD-1819-89.pdf#page=5","Abrir facsímil")</f>
        <v>Abrir facsímil</v>
      </c>
      <c r="K774" s="3" t="s">
        <v>67</v>
      </c>
    </row>
    <row r="775" spans="1:11" ht="42" customHeight="1">
      <c r="A775" s="2" t="s">
        <v>2131</v>
      </c>
      <c r="B775" s="2" t="s">
        <v>2132</v>
      </c>
      <c r="C775" s="2" t="s">
        <v>63</v>
      </c>
      <c r="D775" s="2" t="s">
        <v>43</v>
      </c>
      <c r="E775" s="5">
        <v>-29430</v>
      </c>
      <c r="F775" s="3" t="s">
        <v>178</v>
      </c>
      <c r="G775" s="3" t="s">
        <v>55</v>
      </c>
      <c r="H775" s="2" t="s">
        <v>21</v>
      </c>
      <c r="I775" s="2" t="s">
        <v>2133</v>
      </c>
      <c r="J775" s="3" t="str">
        <f>HYPERLINK("https://www.boe.es/gazeta/dias/1819/06/03/pdfs/GMD-1819-66.pdf#page=7","Abrir facsímil")</f>
        <v>Abrir facsímil</v>
      </c>
      <c r="K775" s="3" t="s">
        <v>23</v>
      </c>
    </row>
    <row r="776" spans="1:11" ht="42" customHeight="1">
      <c r="A776" s="2" t="s">
        <v>2134</v>
      </c>
      <c r="B776" s="2" t="s">
        <v>2135</v>
      </c>
      <c r="C776" s="2" t="s">
        <v>59</v>
      </c>
      <c r="D776" s="2" t="s">
        <v>18</v>
      </c>
      <c r="E776" s="5">
        <v>-29575</v>
      </c>
      <c r="F776" s="3" t="s">
        <v>77</v>
      </c>
      <c r="G776" s="3" t="s">
        <v>38</v>
      </c>
      <c r="H776" s="2" t="s">
        <v>21</v>
      </c>
      <c r="I776" s="2" t="s">
        <v>2136</v>
      </c>
      <c r="J776" s="3" t="str">
        <f>HYPERLINK("https://www.boe.es/gazeta/dias/1819/01/09/pdfs/GMD-1819-4.pdf#page=5","Abrir facsímil")</f>
        <v>Abrir facsímil</v>
      </c>
      <c r="K776" s="3" t="s">
        <v>23</v>
      </c>
    </row>
    <row r="777" spans="1:11" ht="42" customHeight="1">
      <c r="A777" s="2" t="s">
        <v>2137</v>
      </c>
      <c r="B777" s="2" t="s">
        <v>2138</v>
      </c>
      <c r="C777" s="2" t="s">
        <v>80</v>
      </c>
      <c r="D777" s="2" t="s">
        <v>81</v>
      </c>
      <c r="E777" s="5">
        <v>-29297</v>
      </c>
      <c r="F777" s="3" t="s">
        <v>82</v>
      </c>
      <c r="G777" s="3" t="s">
        <v>33</v>
      </c>
      <c r="H777" s="2" t="s">
        <v>65</v>
      </c>
      <c r="I777" s="2" t="s">
        <v>2139</v>
      </c>
      <c r="J777" s="3" t="str">
        <f>HYPERLINK("https://www.boe.es/gazeta/dias/1819/10/14/pdfs/GMD-1819-126.pdf#page=6","Abrir facsímil")</f>
        <v>Abrir facsímil</v>
      </c>
      <c r="K777" s="3" t="s">
        <v>67</v>
      </c>
    </row>
    <row r="778" spans="1:11" ht="42" customHeight="1">
      <c r="A778" s="2" t="s">
        <v>2140</v>
      </c>
      <c r="B778" s="2" t="s">
        <v>2140</v>
      </c>
      <c r="C778" s="2" t="s">
        <v>246</v>
      </c>
      <c r="D778" s="2" t="s">
        <v>18</v>
      </c>
      <c r="E778" s="5">
        <v>-29509</v>
      </c>
      <c r="F778" s="3" t="s">
        <v>942</v>
      </c>
      <c r="G778" s="3" t="s">
        <v>296</v>
      </c>
      <c r="H778" s="2" t="s">
        <v>65</v>
      </c>
      <c r="I778" s="2" t="s">
        <v>2141</v>
      </c>
      <c r="J778" s="3" t="str">
        <f>HYPERLINK("https://www.boe.es/gazeta/dias/1819/03/16/pdfs/GMD-1819-32.pdf#page=4","Abrir facsímil")</f>
        <v>Abrir facsímil</v>
      </c>
      <c r="K778" s="3" t="s">
        <v>67</v>
      </c>
    </row>
    <row r="779" spans="1:11" ht="42" customHeight="1">
      <c r="A779" s="2" t="s">
        <v>2142</v>
      </c>
      <c r="B779" s="2" t="s">
        <v>2142</v>
      </c>
      <c r="C779" s="2" t="s">
        <v>246</v>
      </c>
      <c r="D779" s="2" t="s">
        <v>18</v>
      </c>
      <c r="E779" s="5">
        <v>-29407</v>
      </c>
      <c r="F779" s="3" t="s">
        <v>64</v>
      </c>
      <c r="G779" s="3" t="s">
        <v>102</v>
      </c>
      <c r="H779" s="2" t="s">
        <v>65</v>
      </c>
      <c r="I779" s="2" t="s">
        <v>2143</v>
      </c>
      <c r="J779" s="3" t="str">
        <f>HYPERLINK("https://www.boe.es/gazeta/dias/1819/06/26/pdfs/GMD-1819-77.pdf#page=3","Abrir facsímil")</f>
        <v>Abrir facsímil</v>
      </c>
      <c r="K779" s="3" t="s">
        <v>67</v>
      </c>
    </row>
    <row r="780" spans="1:11" ht="42" customHeight="1">
      <c r="A780" s="2" t="s">
        <v>2144</v>
      </c>
      <c r="B780" s="2" t="s">
        <v>2144</v>
      </c>
      <c r="C780" s="2" t="s">
        <v>80</v>
      </c>
      <c r="D780" s="2" t="s">
        <v>81</v>
      </c>
      <c r="E780" s="5">
        <v>-29495</v>
      </c>
      <c r="F780" s="3" t="s">
        <v>992</v>
      </c>
      <c r="G780" s="3" t="s">
        <v>2145</v>
      </c>
      <c r="H780" s="2" t="s">
        <v>65</v>
      </c>
      <c r="I780" s="2" t="s">
        <v>2146</v>
      </c>
      <c r="J780" s="3" t="str">
        <f>HYPERLINK("https://www.boe.es/gazeta/dias/1819/03/30/pdfs/GMD-1819-38.pdf#page=4","Abrir facsímil")</f>
        <v>Abrir facsímil</v>
      </c>
      <c r="K780" s="3" t="s">
        <v>67</v>
      </c>
    </row>
    <row r="781" spans="1:11" ht="42" customHeight="1">
      <c r="A781" s="2" t="s">
        <v>2147</v>
      </c>
      <c r="B781" s="2" t="s">
        <v>2147</v>
      </c>
      <c r="C781" s="2" t="s">
        <v>246</v>
      </c>
      <c r="D781" s="2" t="s">
        <v>18</v>
      </c>
      <c r="E781" s="5">
        <v>-29582</v>
      </c>
      <c r="F781" s="3" t="s">
        <v>376</v>
      </c>
      <c r="G781" s="3" t="s">
        <v>239</v>
      </c>
      <c r="H781" s="2" t="s">
        <v>65</v>
      </c>
      <c r="I781" s="2" t="s">
        <v>2148</v>
      </c>
      <c r="J781" s="3" t="str">
        <f>HYPERLINK("https://www.boe.es/gazeta/dias/1819/01/02/pdfs/GMD-1819-1.pdf#page=1","Abrir facsímil")</f>
        <v>Abrir facsímil</v>
      </c>
      <c r="K781" s="3" t="s">
        <v>67</v>
      </c>
    </row>
    <row r="782" spans="1:11" ht="42" customHeight="1">
      <c r="A782" s="2" t="s">
        <v>2147</v>
      </c>
      <c r="B782" s="2" t="s">
        <v>2147</v>
      </c>
      <c r="C782" s="2" t="s">
        <v>17</v>
      </c>
      <c r="D782" s="2" t="s">
        <v>18</v>
      </c>
      <c r="E782" s="5">
        <v>-29572</v>
      </c>
      <c r="F782" s="3" t="s">
        <v>589</v>
      </c>
      <c r="G782" s="3" t="s">
        <v>1252</v>
      </c>
      <c r="H782" s="2" t="s">
        <v>65</v>
      </c>
      <c r="I782" s="2" t="s">
        <v>2149</v>
      </c>
      <c r="J782" s="3" t="str">
        <f>HYPERLINK("https://www.boe.es/gazeta/dias/1819/01/12/pdfs/GMD-1819-5.pdf#page=2","Abrir facsímil")</f>
        <v>Abrir facsímil</v>
      </c>
      <c r="K782" s="3" t="s">
        <v>67</v>
      </c>
    </row>
    <row r="783" spans="1:11" ht="42" customHeight="1">
      <c r="A783" s="2" t="s">
        <v>2147</v>
      </c>
      <c r="B783" s="2" t="s">
        <v>2147</v>
      </c>
      <c r="C783" s="2" t="s">
        <v>80</v>
      </c>
      <c r="D783" s="2" t="s">
        <v>81</v>
      </c>
      <c r="E783" s="5">
        <v>-29544</v>
      </c>
      <c r="F783" s="3" t="s">
        <v>531</v>
      </c>
      <c r="G783" s="3" t="s">
        <v>239</v>
      </c>
      <c r="H783" s="2" t="s">
        <v>65</v>
      </c>
      <c r="I783" s="2" t="s">
        <v>2150</v>
      </c>
      <c r="J783" s="3" t="str">
        <f>HYPERLINK("https://www.boe.es/gazeta/dias/1819/02/09/pdfs/GMD-1819-17.pdf#page=1","Abrir facsímil")</f>
        <v>Abrir facsímil</v>
      </c>
      <c r="K783" s="3" t="s">
        <v>67</v>
      </c>
    </row>
    <row r="784" spans="1:11" ht="42" customHeight="1">
      <c r="A784" s="2" t="s">
        <v>2147</v>
      </c>
      <c r="B784" s="2" t="s">
        <v>2147</v>
      </c>
      <c r="C784" s="2" t="s">
        <v>63</v>
      </c>
      <c r="D784" s="2" t="s">
        <v>43</v>
      </c>
      <c r="E784" s="5">
        <v>-29495</v>
      </c>
      <c r="F784" s="3" t="s">
        <v>992</v>
      </c>
      <c r="G784" s="3" t="s">
        <v>38</v>
      </c>
      <c r="H784" s="2" t="s">
        <v>65</v>
      </c>
      <c r="I784" s="2" t="s">
        <v>2151</v>
      </c>
      <c r="J784" s="3" t="str">
        <f>HYPERLINK("https://www.boe.es/gazeta/dias/1819/03/30/pdfs/GMD-1819-38.pdf#page=5","Abrir facsímil")</f>
        <v>Abrir facsímil</v>
      </c>
      <c r="K784" s="3" t="s">
        <v>67</v>
      </c>
    </row>
    <row r="785" spans="1:11" ht="42" customHeight="1">
      <c r="A785" s="2" t="s">
        <v>2147</v>
      </c>
      <c r="B785" s="2" t="s">
        <v>2147</v>
      </c>
      <c r="C785" s="2" t="s">
        <v>80</v>
      </c>
      <c r="D785" s="2" t="s">
        <v>81</v>
      </c>
      <c r="E785" s="5">
        <v>-29439</v>
      </c>
      <c r="F785" s="3" t="s">
        <v>1101</v>
      </c>
      <c r="G785" s="3" t="s">
        <v>102</v>
      </c>
      <c r="H785" s="2" t="s">
        <v>65</v>
      </c>
      <c r="I785" s="2" t="s">
        <v>2152</v>
      </c>
      <c r="J785" s="3" t="str">
        <f>HYPERLINK("https://www.boe.es/gazeta/dias/1819/05/25/pdfs/GMD-1819-62.pdf#page=3","Abrir facsímil")</f>
        <v>Abrir facsímil</v>
      </c>
      <c r="K785" s="3" t="s">
        <v>67</v>
      </c>
    </row>
    <row r="786" spans="1:11" ht="42" customHeight="1">
      <c r="A786" s="2" t="s">
        <v>2147</v>
      </c>
      <c r="B786" s="2" t="s">
        <v>2147</v>
      </c>
      <c r="C786" s="2" t="s">
        <v>80</v>
      </c>
      <c r="D786" s="2" t="s">
        <v>81</v>
      </c>
      <c r="E786" s="5">
        <v>-29418</v>
      </c>
      <c r="F786" s="3" t="s">
        <v>447</v>
      </c>
      <c r="G786" s="3" t="s">
        <v>102</v>
      </c>
      <c r="H786" s="2" t="s">
        <v>65</v>
      </c>
      <c r="I786" s="2" t="s">
        <v>2153</v>
      </c>
      <c r="J786" s="3" t="str">
        <f>HYPERLINK("https://www.boe.es/gazeta/dias/1819/06/15/pdfs/GMD-1819-72.pdf#page=3","Abrir facsímil")</f>
        <v>Abrir facsímil</v>
      </c>
      <c r="K786" s="3" t="s">
        <v>67</v>
      </c>
    </row>
    <row r="787" spans="1:11" ht="42" customHeight="1">
      <c r="A787" s="2" t="s">
        <v>2154</v>
      </c>
      <c r="B787" s="2" t="s">
        <v>2154</v>
      </c>
      <c r="C787" s="2" t="s">
        <v>59</v>
      </c>
      <c r="D787" s="2" t="s">
        <v>18</v>
      </c>
      <c r="E787" s="5">
        <v>-29414</v>
      </c>
      <c r="F787" s="3" t="s">
        <v>732</v>
      </c>
      <c r="G787" s="3" t="s">
        <v>259</v>
      </c>
      <c r="H787" s="2" t="s">
        <v>65</v>
      </c>
      <c r="I787" s="2" t="s">
        <v>2155</v>
      </c>
      <c r="J787" s="3" t="str">
        <f>HYPERLINK("https://www.boe.es/gazeta/dias/1819/06/19/pdfs/GMD-1819-74.pdf#page=2","Abrir facsímil")</f>
        <v>Abrir facsímil</v>
      </c>
      <c r="K787" s="3" t="s">
        <v>67</v>
      </c>
    </row>
    <row r="788" spans="1:11" ht="42" customHeight="1">
      <c r="A788" s="2" t="s">
        <v>2147</v>
      </c>
      <c r="B788" s="2" t="s">
        <v>2147</v>
      </c>
      <c r="C788" s="2" t="s">
        <v>59</v>
      </c>
      <c r="D788" s="2" t="s">
        <v>18</v>
      </c>
      <c r="E788" s="5">
        <v>-29374</v>
      </c>
      <c r="F788" s="3" t="s">
        <v>204</v>
      </c>
      <c r="G788" s="3" t="s">
        <v>102</v>
      </c>
      <c r="H788" s="2" t="s">
        <v>65</v>
      </c>
      <c r="I788" s="2" t="s">
        <v>2156</v>
      </c>
      <c r="J788" s="3" t="str">
        <f>HYPERLINK("https://www.boe.es/gazeta/dias/1819/07/29/pdfs/GMD-1819-91.pdf#page=3","Abrir facsímil")</f>
        <v>Abrir facsímil</v>
      </c>
      <c r="K788" s="3" t="s">
        <v>67</v>
      </c>
    </row>
    <row r="789" spans="1:11" ht="42" customHeight="1">
      <c r="A789" s="2" t="s">
        <v>2147</v>
      </c>
      <c r="B789" s="2" t="s">
        <v>2147</v>
      </c>
      <c r="C789" s="2" t="s">
        <v>63</v>
      </c>
      <c r="D789" s="2" t="s">
        <v>43</v>
      </c>
      <c r="E789" s="5">
        <v>-29358</v>
      </c>
      <c r="F789" s="3" t="s">
        <v>170</v>
      </c>
      <c r="G789" s="3" t="s">
        <v>239</v>
      </c>
      <c r="H789" s="2" t="s">
        <v>65</v>
      </c>
      <c r="I789" s="2" t="s">
        <v>2157</v>
      </c>
      <c r="J789" s="3" t="str">
        <f>HYPERLINK("https://www.boe.es/gazeta/dias/1819/08/14/pdfs/GMD-1819-98.pdf#page=1","Abrir facsímil")</f>
        <v>Abrir facsímil</v>
      </c>
      <c r="K789" s="3" t="s">
        <v>67</v>
      </c>
    </row>
    <row r="790" spans="1:11" ht="42" customHeight="1">
      <c r="A790" s="2" t="s">
        <v>2147</v>
      </c>
      <c r="B790" s="2" t="s">
        <v>2147</v>
      </c>
      <c r="C790" s="2" t="s">
        <v>246</v>
      </c>
      <c r="D790" s="2" t="s">
        <v>18</v>
      </c>
      <c r="E790" s="5">
        <v>-29316</v>
      </c>
      <c r="F790" s="3" t="s">
        <v>166</v>
      </c>
      <c r="G790" s="3" t="s">
        <v>259</v>
      </c>
      <c r="H790" s="2" t="s">
        <v>65</v>
      </c>
      <c r="I790" s="2" t="s">
        <v>2158</v>
      </c>
      <c r="J790" s="3" t="str">
        <f>HYPERLINK("https://www.boe.es/gazeta/dias/1819/09/25/pdfs/GMD-1819-118.pdf#page=2","Abrir facsímil")</f>
        <v>Abrir facsímil</v>
      </c>
      <c r="K790" s="3" t="s">
        <v>67</v>
      </c>
    </row>
    <row r="791" spans="1:11" ht="42" customHeight="1">
      <c r="A791" s="2" t="s">
        <v>2147</v>
      </c>
      <c r="B791" s="2" t="s">
        <v>2147</v>
      </c>
      <c r="C791" s="2" t="s">
        <v>63</v>
      </c>
      <c r="D791" s="2" t="s">
        <v>43</v>
      </c>
      <c r="E791" s="5">
        <v>-29276</v>
      </c>
      <c r="F791" s="3" t="s">
        <v>54</v>
      </c>
      <c r="G791" s="3" t="s">
        <v>259</v>
      </c>
      <c r="H791" s="2" t="s">
        <v>65</v>
      </c>
      <c r="I791" s="2" t="s">
        <v>2159</v>
      </c>
      <c r="J791" s="3" t="str">
        <f>HYPERLINK("https://www.boe.es/gazeta/dias/1819/11/04/pdfs/GMD-1819-136.pdf#page=2","Abrir facsímil")</f>
        <v>Abrir facsímil</v>
      </c>
      <c r="K791" s="3" t="s">
        <v>67</v>
      </c>
    </row>
    <row r="792" spans="1:11" ht="42" customHeight="1">
      <c r="A792" s="2" t="s">
        <v>2160</v>
      </c>
      <c r="B792" s="2" t="s">
        <v>2161</v>
      </c>
      <c r="C792" s="2" t="s">
        <v>63</v>
      </c>
      <c r="D792" s="2" t="s">
        <v>43</v>
      </c>
      <c r="E792" s="5">
        <v>-29288</v>
      </c>
      <c r="F792" s="3" t="s">
        <v>334</v>
      </c>
      <c r="G792" s="3" t="s">
        <v>2162</v>
      </c>
      <c r="H792" s="2" t="s">
        <v>65</v>
      </c>
      <c r="I792" s="2" t="s">
        <v>2163</v>
      </c>
      <c r="J792" s="3" t="str">
        <f>HYPERLINK("https://www.boe.es/gazeta/dias/1819/10/23/pdfs/GMD-1819-130.pdf#page=7","Abrir facsímil")</f>
        <v>Abrir facsímil</v>
      </c>
      <c r="K792" s="3" t="s">
        <v>67</v>
      </c>
    </row>
    <row r="793" spans="1:11" ht="42" customHeight="1">
      <c r="A793" s="2" t="s">
        <v>2160</v>
      </c>
      <c r="B793" s="2" t="s">
        <v>2161</v>
      </c>
      <c r="C793" s="2" t="s">
        <v>136</v>
      </c>
      <c r="D793" s="2" t="s">
        <v>18</v>
      </c>
      <c r="E793" s="5">
        <v>-29288</v>
      </c>
      <c r="F793" s="3" t="s">
        <v>334</v>
      </c>
      <c r="G793" s="3" t="s">
        <v>28</v>
      </c>
      <c r="H793" s="2" t="s">
        <v>65</v>
      </c>
      <c r="I793" s="2" t="s">
        <v>2164</v>
      </c>
      <c r="J793" s="3" t="str">
        <f>HYPERLINK("https://www.boe.es/gazeta/dias/1819/10/23/pdfs/GMD-1819-130.pdf#page=8","Abrir facsímil")</f>
        <v>Abrir facsímil</v>
      </c>
      <c r="K793" s="3" t="s">
        <v>67</v>
      </c>
    </row>
    <row r="794" spans="1:11" ht="42" customHeight="1">
      <c r="A794" s="2" t="s">
        <v>2165</v>
      </c>
      <c r="B794" s="2" t="s">
        <v>2166</v>
      </c>
      <c r="C794" s="2" t="s">
        <v>80</v>
      </c>
      <c r="D794" s="2" t="s">
        <v>454</v>
      </c>
      <c r="E794" s="5">
        <v>-29287</v>
      </c>
      <c r="F794" s="3" t="s">
        <v>455</v>
      </c>
      <c r="G794" s="3" t="s">
        <v>456</v>
      </c>
      <c r="H794" s="2" t="s">
        <v>65</v>
      </c>
      <c r="I794" s="2" t="s">
        <v>2167</v>
      </c>
      <c r="J794" s="3" t="str">
        <f>HYPERLINK("https://www.boe.es/gazeta/dias/1819/10/24/pdfs/GMD-1819-131E.pdf#page=9","Abrir facsímil")</f>
        <v>Abrir facsímil</v>
      </c>
      <c r="K794" s="3" t="s">
        <v>67</v>
      </c>
    </row>
    <row r="795" spans="1:11" ht="42" customHeight="1">
      <c r="A795" s="2" t="s">
        <v>2168</v>
      </c>
      <c r="B795" s="2" t="s">
        <v>2169</v>
      </c>
      <c r="C795" s="2" t="s">
        <v>59</v>
      </c>
      <c r="D795" s="2" t="s">
        <v>18</v>
      </c>
      <c r="E795" s="5">
        <v>-29449</v>
      </c>
      <c r="F795" s="3" t="s">
        <v>771</v>
      </c>
      <c r="G795" s="3" t="s">
        <v>296</v>
      </c>
      <c r="H795" s="2" t="s">
        <v>65</v>
      </c>
      <c r="I795" s="2" t="s">
        <v>2170</v>
      </c>
      <c r="J795" s="3" t="str">
        <f>HYPERLINK("https://www.boe.es/gazeta/dias/1819/05/15/pdfs/GMD-1819-58.pdf#page=4","Abrir facsímil")</f>
        <v>Abrir facsímil</v>
      </c>
      <c r="K795" s="3" t="s">
        <v>67</v>
      </c>
    </row>
    <row r="796" spans="1:11" ht="42" customHeight="1">
      <c r="A796" s="2" t="s">
        <v>2171</v>
      </c>
      <c r="B796" s="2" t="s">
        <v>2172</v>
      </c>
      <c r="C796" s="2" t="s">
        <v>63</v>
      </c>
      <c r="D796" s="2" t="s">
        <v>43</v>
      </c>
      <c r="E796" s="5">
        <v>-29551</v>
      </c>
      <c r="F796" s="3" t="s">
        <v>2173</v>
      </c>
      <c r="G796" s="3" t="s">
        <v>55</v>
      </c>
      <c r="H796" s="2" t="s">
        <v>65</v>
      </c>
      <c r="I796" s="2" t="s">
        <v>2174</v>
      </c>
      <c r="J796" s="3" t="str">
        <f>HYPERLINK("https://www.boe.es/gazeta/dias/1819/02/02/pdfs/GMD-1819-14.pdf#page=7","Abrir facsímil")</f>
        <v>Abrir facsímil</v>
      </c>
      <c r="K796" s="3" t="s">
        <v>67</v>
      </c>
    </row>
    <row r="797" spans="1:11" ht="42" customHeight="1">
      <c r="A797" s="2" t="s">
        <v>2171</v>
      </c>
      <c r="B797" s="2" t="s">
        <v>2172</v>
      </c>
      <c r="C797" s="2" t="s">
        <v>63</v>
      </c>
      <c r="D797" s="2" t="s">
        <v>43</v>
      </c>
      <c r="E797" s="5">
        <v>-29544</v>
      </c>
      <c r="F797" s="3" t="s">
        <v>531</v>
      </c>
      <c r="G797" s="3" t="s">
        <v>532</v>
      </c>
      <c r="H797" s="2" t="s">
        <v>65</v>
      </c>
      <c r="I797" s="2" t="s">
        <v>2175</v>
      </c>
      <c r="J797" s="3" t="str">
        <f>HYPERLINK("https://www.boe.es/gazeta/dias/1819/02/09/pdfs/GMD-1819-17.pdf#page=8","Abrir facsímil")</f>
        <v>Abrir facsímil</v>
      </c>
      <c r="K797" s="3" t="s">
        <v>67</v>
      </c>
    </row>
    <row r="798" spans="1:11" ht="42" customHeight="1">
      <c r="A798" s="2" t="s">
        <v>2171</v>
      </c>
      <c r="B798" s="2" t="s">
        <v>2172</v>
      </c>
      <c r="C798" s="2" t="s">
        <v>63</v>
      </c>
      <c r="D798" s="2" t="s">
        <v>43</v>
      </c>
      <c r="E798" s="5">
        <v>-29540</v>
      </c>
      <c r="F798" s="3" t="s">
        <v>154</v>
      </c>
      <c r="G798" s="3" t="s">
        <v>28</v>
      </c>
      <c r="H798" s="2" t="s">
        <v>65</v>
      </c>
      <c r="I798" s="2" t="s">
        <v>2176</v>
      </c>
      <c r="J798" s="3" t="str">
        <f>HYPERLINK("https://www.boe.es/gazeta/dias/1819/02/13/pdfs/GMD-1819-19.pdf#page=8","Abrir facsímil")</f>
        <v>Abrir facsímil</v>
      </c>
      <c r="K798" s="3" t="s">
        <v>67</v>
      </c>
    </row>
    <row r="799" spans="1:11" ht="42" customHeight="1">
      <c r="A799" s="2" t="s">
        <v>2171</v>
      </c>
      <c r="B799" s="2" t="s">
        <v>2172</v>
      </c>
      <c r="C799" s="2" t="s">
        <v>63</v>
      </c>
      <c r="D799" s="2" t="s">
        <v>43</v>
      </c>
      <c r="E799" s="5">
        <v>-29533</v>
      </c>
      <c r="F799" s="3" t="s">
        <v>280</v>
      </c>
      <c r="G799" s="3" t="s">
        <v>28</v>
      </c>
      <c r="H799" s="2" t="s">
        <v>65</v>
      </c>
      <c r="I799" s="2" t="s">
        <v>2177</v>
      </c>
      <c r="J799" s="3" t="str">
        <f>HYPERLINK("https://www.boe.es/gazeta/dias/1819/02/20/pdfs/GMD-1819-22.pdf#page=8","Abrir facsímil")</f>
        <v>Abrir facsímil</v>
      </c>
      <c r="K799" s="3" t="s">
        <v>67</v>
      </c>
    </row>
    <row r="800" spans="1:11" ht="42" customHeight="1">
      <c r="A800" s="2" t="s">
        <v>2171</v>
      </c>
      <c r="B800" s="2" t="s">
        <v>2172</v>
      </c>
      <c r="C800" s="2" t="s">
        <v>63</v>
      </c>
      <c r="D800" s="2" t="s">
        <v>43</v>
      </c>
      <c r="E800" s="5">
        <v>-29523</v>
      </c>
      <c r="F800" s="3" t="s">
        <v>436</v>
      </c>
      <c r="G800" s="3" t="s">
        <v>2178</v>
      </c>
      <c r="H800" s="2" t="s">
        <v>65</v>
      </c>
      <c r="I800" s="2" t="s">
        <v>2179</v>
      </c>
      <c r="J800" s="3" t="str">
        <f>HYPERLINK("https://www.boe.es/gazeta/dias/1819/03/02/pdfs/GMD-1819-26.pdf#page=7","Abrir facsímil")</f>
        <v>Abrir facsímil</v>
      </c>
      <c r="K800" s="3" t="s">
        <v>67</v>
      </c>
    </row>
    <row r="801" spans="1:11" ht="42" customHeight="1">
      <c r="A801" s="2" t="s">
        <v>2171</v>
      </c>
      <c r="B801" s="2" t="s">
        <v>2172</v>
      </c>
      <c r="C801" s="2" t="s">
        <v>136</v>
      </c>
      <c r="D801" s="2" t="s">
        <v>18</v>
      </c>
      <c r="E801" s="5">
        <v>-29486</v>
      </c>
      <c r="F801" s="3" t="s">
        <v>330</v>
      </c>
      <c r="G801" s="3" t="s">
        <v>28</v>
      </c>
      <c r="H801" s="2" t="s">
        <v>65</v>
      </c>
      <c r="I801" s="2" t="s">
        <v>2180</v>
      </c>
      <c r="J801" s="3" t="str">
        <f>HYPERLINK("https://www.boe.es/gazeta/dias/1819/04/08/pdfs/GMD-1819-42.pdf#page=8","Abrir facsímil")</f>
        <v>Abrir facsímil</v>
      </c>
      <c r="K801" s="3" t="s">
        <v>67</v>
      </c>
    </row>
    <row r="802" spans="1:11" ht="42" customHeight="1">
      <c r="A802" s="2" t="s">
        <v>2171</v>
      </c>
      <c r="B802" s="2" t="s">
        <v>2172</v>
      </c>
      <c r="C802" s="2" t="s">
        <v>63</v>
      </c>
      <c r="D802" s="2" t="s">
        <v>43</v>
      </c>
      <c r="E802" s="5">
        <v>-29400</v>
      </c>
      <c r="F802" s="3" t="s">
        <v>2181</v>
      </c>
      <c r="G802" s="3" t="s">
        <v>2182</v>
      </c>
      <c r="H802" s="2" t="s">
        <v>65</v>
      </c>
      <c r="I802" s="2" t="s">
        <v>2183</v>
      </c>
      <c r="J802" s="3" t="str">
        <f>HYPERLINK("https://www.boe.es/gazeta/dias/1819/07/03/pdfs/GMD-1819-80.pdf#page=8","Abrir facsímil")</f>
        <v>Abrir facsímil</v>
      </c>
      <c r="K802" s="3" t="s">
        <v>67</v>
      </c>
    </row>
    <row r="803" spans="1:11" ht="42" customHeight="1">
      <c r="A803" s="2" t="s">
        <v>2171</v>
      </c>
      <c r="B803" s="2" t="s">
        <v>2172</v>
      </c>
      <c r="C803" s="2" t="s">
        <v>63</v>
      </c>
      <c r="D803" s="2" t="s">
        <v>43</v>
      </c>
      <c r="E803" s="5">
        <v>-29395</v>
      </c>
      <c r="F803" s="3" t="s">
        <v>684</v>
      </c>
      <c r="G803" s="3" t="s">
        <v>685</v>
      </c>
      <c r="H803" s="2" t="s">
        <v>65</v>
      </c>
      <c r="I803" s="2" t="s">
        <v>2184</v>
      </c>
      <c r="J803" s="3" t="str">
        <f>HYPERLINK("https://www.boe.es/gazeta/dias/1819/07/08/pdfs/GMD-1819-82.pdf#page=8","Abrir facsímil")</f>
        <v>Abrir facsímil</v>
      </c>
      <c r="K803" s="3" t="s">
        <v>67</v>
      </c>
    </row>
    <row r="804" spans="1:11" ht="42" customHeight="1">
      <c r="A804" s="2" t="s">
        <v>2171</v>
      </c>
      <c r="B804" s="2" t="s">
        <v>2172</v>
      </c>
      <c r="C804" s="2" t="s">
        <v>63</v>
      </c>
      <c r="D804" s="2" t="s">
        <v>43</v>
      </c>
      <c r="E804" s="5">
        <v>-29367</v>
      </c>
      <c r="F804" s="3" t="s">
        <v>571</v>
      </c>
      <c r="G804" s="3" t="s">
        <v>55</v>
      </c>
      <c r="H804" s="2" t="s">
        <v>65</v>
      </c>
      <c r="I804" s="2" t="s">
        <v>2185</v>
      </c>
      <c r="J804" s="3" t="str">
        <f>HYPERLINK("https://www.boe.es/gazeta/dias/1819/08/05/pdfs/GMD-1819-94.pdf#page=7","Abrir facsímil")</f>
        <v>Abrir facsímil</v>
      </c>
      <c r="K804" s="3" t="s">
        <v>67</v>
      </c>
    </row>
    <row r="805" spans="1:11" ht="42" customHeight="1">
      <c r="A805" s="2" t="s">
        <v>2171</v>
      </c>
      <c r="B805" s="2" t="s">
        <v>2172</v>
      </c>
      <c r="C805" s="2" t="s">
        <v>215</v>
      </c>
      <c r="D805" s="2" t="s">
        <v>18</v>
      </c>
      <c r="E805" s="5">
        <v>-29318</v>
      </c>
      <c r="F805" s="3" t="s">
        <v>1442</v>
      </c>
      <c r="G805" s="3" t="s">
        <v>1443</v>
      </c>
      <c r="H805" s="2" t="s">
        <v>65</v>
      </c>
      <c r="I805" s="2" t="s">
        <v>2186</v>
      </c>
      <c r="J805" s="3" t="str">
        <f>HYPERLINK("https://www.boe.es/gazeta/dias/1819/09/23/pdfs/GMD-1819-117.pdf#page=8","Abrir facsímil")</f>
        <v>Abrir facsímil</v>
      </c>
      <c r="K805" s="3" t="s">
        <v>67</v>
      </c>
    </row>
    <row r="806" spans="1:11" ht="42" customHeight="1">
      <c r="A806" s="2" t="s">
        <v>2171</v>
      </c>
      <c r="B806" s="2" t="s">
        <v>2172</v>
      </c>
      <c r="C806" s="2" t="s">
        <v>63</v>
      </c>
      <c r="D806" s="2" t="s">
        <v>43</v>
      </c>
      <c r="E806" s="5">
        <v>-29229</v>
      </c>
      <c r="F806" s="3" t="s">
        <v>44</v>
      </c>
      <c r="G806" s="3" t="s">
        <v>28</v>
      </c>
      <c r="H806" s="2" t="s">
        <v>65</v>
      </c>
      <c r="I806" s="2" t="s">
        <v>2187</v>
      </c>
      <c r="J806" s="3" t="str">
        <f>HYPERLINK("https://www.boe.es/gazeta/dias/1819/12/21/pdfs/GMD-1819-156.pdf#page=8","Abrir facsímil")</f>
        <v>Abrir facsímil</v>
      </c>
      <c r="K806" s="3" t="s">
        <v>67</v>
      </c>
    </row>
    <row r="807" spans="1:11" ht="42" customHeight="1">
      <c r="A807" s="2" t="s">
        <v>2188</v>
      </c>
      <c r="B807" s="2" t="s">
        <v>2189</v>
      </c>
      <c r="C807" s="2" t="s">
        <v>80</v>
      </c>
      <c r="D807" s="2" t="s">
        <v>81</v>
      </c>
      <c r="E807" s="5">
        <v>-29248</v>
      </c>
      <c r="F807" s="3" t="s">
        <v>395</v>
      </c>
      <c r="G807" s="3" t="s">
        <v>1179</v>
      </c>
      <c r="H807" s="2" t="s">
        <v>65</v>
      </c>
      <c r="I807" s="2" t="s">
        <v>2190</v>
      </c>
      <c r="J807" s="3" t="str">
        <f>HYPERLINK("https://www.boe.es/gazeta/dias/1819/12/02/pdfs/GMD-1819-148.pdf#page=10","Abrir facsímil")</f>
        <v>Abrir facsímil</v>
      </c>
      <c r="K807" s="3" t="s">
        <v>67</v>
      </c>
    </row>
    <row r="808" spans="1:11" ht="42" customHeight="1">
      <c r="A808" s="2" t="s">
        <v>2191</v>
      </c>
      <c r="B808" s="2" t="s">
        <v>2192</v>
      </c>
      <c r="C808" s="2" t="s">
        <v>63</v>
      </c>
      <c r="D808" s="2" t="s">
        <v>43</v>
      </c>
      <c r="E808" s="5">
        <v>-29474</v>
      </c>
      <c r="F808" s="3" t="s">
        <v>216</v>
      </c>
      <c r="G808" s="3" t="s">
        <v>28</v>
      </c>
      <c r="H808" s="2" t="s">
        <v>65</v>
      </c>
      <c r="I808" s="2" t="s">
        <v>2193</v>
      </c>
      <c r="J808" s="3" t="str">
        <f>HYPERLINK("https://www.boe.es/gazeta/dias/1819/04/20/pdfs/GMD-1819-47.pdf#page=8","Abrir facsímil")</f>
        <v>Abrir facsímil</v>
      </c>
      <c r="K808" s="3" t="s">
        <v>67</v>
      </c>
    </row>
    <row r="809" spans="1:11" ht="42" customHeight="1">
      <c r="A809" s="2" t="s">
        <v>2194</v>
      </c>
      <c r="B809" s="2" t="s">
        <v>2194</v>
      </c>
      <c r="C809" s="2" t="s">
        <v>80</v>
      </c>
      <c r="D809" s="2" t="s">
        <v>81</v>
      </c>
      <c r="E809" s="5">
        <v>-29530</v>
      </c>
      <c r="F809" s="3" t="s">
        <v>202</v>
      </c>
      <c r="G809" s="3" t="s">
        <v>20</v>
      </c>
      <c r="H809" s="2" t="s">
        <v>65</v>
      </c>
      <c r="I809" s="2" t="s">
        <v>2195</v>
      </c>
      <c r="J809" s="3" t="str">
        <f>HYPERLINK("https://www.boe.es/gazeta/dias/1819/02/23/pdfs/GMD-1819-23.pdf#page=10","Abrir facsímil")</f>
        <v>Abrir facsímil</v>
      </c>
      <c r="K809" s="3" t="s">
        <v>67</v>
      </c>
    </row>
    <row r="810" spans="1:11" ht="42" customHeight="1">
      <c r="A810" s="2" t="s">
        <v>2194</v>
      </c>
      <c r="B810" s="2" t="s">
        <v>2194</v>
      </c>
      <c r="C810" s="2" t="s">
        <v>59</v>
      </c>
      <c r="D810" s="2" t="s">
        <v>18</v>
      </c>
      <c r="E810" s="5">
        <v>-29516</v>
      </c>
      <c r="F810" s="3" t="s">
        <v>137</v>
      </c>
      <c r="G810" s="3" t="s">
        <v>94</v>
      </c>
      <c r="H810" s="2" t="s">
        <v>65</v>
      </c>
      <c r="I810" s="2" t="s">
        <v>2196</v>
      </c>
      <c r="J810" s="3" t="str">
        <f>HYPERLINK("https://www.boe.es/gazeta/dias/1819/03/09/pdfs/GMD-1819-29.pdf#page=11","Abrir facsímil")</f>
        <v>Abrir facsímil</v>
      </c>
      <c r="K810" s="3" t="s">
        <v>67</v>
      </c>
    </row>
    <row r="811" spans="1:11" ht="42" customHeight="1">
      <c r="A811" s="2" t="s">
        <v>2197</v>
      </c>
      <c r="B811" s="2" t="s">
        <v>2197</v>
      </c>
      <c r="C811" s="2" t="s">
        <v>59</v>
      </c>
      <c r="D811" s="2" t="s">
        <v>18</v>
      </c>
      <c r="E811" s="5">
        <v>-29537</v>
      </c>
      <c r="F811" s="3" t="s">
        <v>593</v>
      </c>
      <c r="G811" s="3" t="s">
        <v>94</v>
      </c>
      <c r="H811" s="2" t="s">
        <v>65</v>
      </c>
      <c r="I811" s="2" t="s">
        <v>2198</v>
      </c>
      <c r="J811" s="3" t="str">
        <f>HYPERLINK("https://www.boe.es/gazeta/dias/1819/02/16/pdfs/GMD-1819-20.pdf#page=11","Abrir facsímil")</f>
        <v>Abrir facsímil</v>
      </c>
      <c r="K811" s="3" t="s">
        <v>67</v>
      </c>
    </row>
    <row r="812" spans="1:11" ht="42" customHeight="1">
      <c r="A812" s="2" t="s">
        <v>2199</v>
      </c>
      <c r="B812" s="2" t="s">
        <v>2199</v>
      </c>
      <c r="C812" s="2" t="s">
        <v>246</v>
      </c>
      <c r="D812" s="2" t="s">
        <v>18</v>
      </c>
      <c r="E812" s="5">
        <v>-29250</v>
      </c>
      <c r="F812" s="3" t="s">
        <v>312</v>
      </c>
      <c r="G812" s="3" t="s">
        <v>259</v>
      </c>
      <c r="H812" s="2" t="s">
        <v>65</v>
      </c>
      <c r="I812" s="2" t="s">
        <v>2200</v>
      </c>
      <c r="J812" s="3" t="str">
        <f>HYPERLINK("https://www.boe.es/gazeta/dias/1819/11/30/pdfs/GMD-1819-147.pdf#page=2","Abrir facsímil")</f>
        <v>Abrir facsímil</v>
      </c>
      <c r="K812" s="3" t="s">
        <v>67</v>
      </c>
    </row>
    <row r="813" spans="1:11" ht="42" customHeight="1">
      <c r="A813" s="2" t="s">
        <v>2201</v>
      </c>
      <c r="B813" s="2" t="s">
        <v>2202</v>
      </c>
      <c r="C813" s="2" t="s">
        <v>59</v>
      </c>
      <c r="D813" s="2" t="s">
        <v>454</v>
      </c>
      <c r="E813" s="5">
        <v>-29419</v>
      </c>
      <c r="F813" s="3" t="s">
        <v>1491</v>
      </c>
      <c r="G813" s="3" t="s">
        <v>259</v>
      </c>
      <c r="H813" s="2" t="s">
        <v>65</v>
      </c>
      <c r="I813" s="2" t="s">
        <v>2203</v>
      </c>
      <c r="J813" s="3" t="str">
        <f>HYPERLINK("https://www.boe.es/gazeta/dias/1819/06/14/pdfs/GMD-1819-71E.pdf#page=2","Abrir facsímil")</f>
        <v>Abrir facsímil</v>
      </c>
      <c r="K813" s="3" t="s">
        <v>67</v>
      </c>
    </row>
    <row r="814" spans="1:11" ht="42" customHeight="1">
      <c r="A814" s="2" t="s">
        <v>2204</v>
      </c>
      <c r="B814" s="2" t="s">
        <v>2205</v>
      </c>
      <c r="C814" s="2" t="s">
        <v>63</v>
      </c>
      <c r="D814" s="2" t="s">
        <v>43</v>
      </c>
      <c r="E814" s="5">
        <v>-29582</v>
      </c>
      <c r="F814" s="3" t="s">
        <v>376</v>
      </c>
      <c r="G814" s="3" t="s">
        <v>2206</v>
      </c>
      <c r="H814" s="2" t="s">
        <v>65</v>
      </c>
      <c r="I814" s="2" t="s">
        <v>2207</v>
      </c>
      <c r="J814" s="3" t="str">
        <f>HYPERLINK("https://www.boe.es/gazeta/dias/1819/01/02/pdfs/GMD-1819-1.pdf#page=4","Abrir facsímil")</f>
        <v>Abrir facsímil</v>
      </c>
      <c r="K814" s="3" t="s">
        <v>67</v>
      </c>
    </row>
    <row r="815" spans="1:11" ht="42" customHeight="1">
      <c r="A815" s="2" t="s">
        <v>2208</v>
      </c>
      <c r="B815" s="2" t="s">
        <v>2209</v>
      </c>
      <c r="C815" s="2" t="s">
        <v>63</v>
      </c>
      <c r="D815" s="2" t="s">
        <v>43</v>
      </c>
      <c r="E815" s="5">
        <v>-29281</v>
      </c>
      <c r="F815" s="3" t="s">
        <v>19</v>
      </c>
      <c r="G815" s="3" t="s">
        <v>55</v>
      </c>
      <c r="H815" s="2" t="s">
        <v>65</v>
      </c>
      <c r="I815" s="2" t="s">
        <v>2210</v>
      </c>
      <c r="J815" s="3" t="str">
        <f>HYPERLINK("https://www.boe.es/gazeta/dias/1819/10/30/pdfs/GMD-1819-134.pdf#page=7","Abrir facsímil")</f>
        <v>Abrir facsímil</v>
      </c>
      <c r="K815" s="3" t="s">
        <v>67</v>
      </c>
    </row>
    <row r="816" spans="1:11" ht="42" customHeight="1">
      <c r="A816" s="2" t="s">
        <v>2211</v>
      </c>
      <c r="B816" s="2" t="s">
        <v>2212</v>
      </c>
      <c r="C816" s="2" t="s">
        <v>63</v>
      </c>
      <c r="D816" s="2" t="s">
        <v>43</v>
      </c>
      <c r="E816" s="5">
        <v>-29451</v>
      </c>
      <c r="F816" s="3" t="s">
        <v>208</v>
      </c>
      <c r="G816" s="3" t="s">
        <v>55</v>
      </c>
      <c r="H816" s="2" t="s">
        <v>65</v>
      </c>
      <c r="I816" s="2" t="s">
        <v>2213</v>
      </c>
      <c r="J816" s="3" t="str">
        <f>HYPERLINK("https://www.boe.es/gazeta/dias/1819/05/13/pdfs/GMD-1819-57.pdf#page=7","Abrir facsímil")</f>
        <v>Abrir facsímil</v>
      </c>
      <c r="K816" s="3" t="s">
        <v>67</v>
      </c>
    </row>
    <row r="817" spans="1:11" ht="42" customHeight="1">
      <c r="A817" s="2" t="s">
        <v>2211</v>
      </c>
      <c r="B817" s="2" t="s">
        <v>2212</v>
      </c>
      <c r="C817" s="2" t="s">
        <v>63</v>
      </c>
      <c r="D817" s="2" t="s">
        <v>43</v>
      </c>
      <c r="E817" s="5">
        <v>-29243</v>
      </c>
      <c r="F817" s="3" t="s">
        <v>2099</v>
      </c>
      <c r="G817" s="3" t="s">
        <v>55</v>
      </c>
      <c r="H817" s="2" t="s">
        <v>65</v>
      </c>
      <c r="I817" s="2" t="s">
        <v>2214</v>
      </c>
      <c r="J817" s="3" t="str">
        <f>HYPERLINK("https://www.boe.es/gazeta/dias/1819/12/07/pdfs/GMD-1819-150.pdf#page=7","Abrir facsímil")</f>
        <v>Abrir facsímil</v>
      </c>
      <c r="K817" s="3" t="s">
        <v>67</v>
      </c>
    </row>
    <row r="818" spans="1:11" ht="42" customHeight="1">
      <c r="A818" s="2" t="s">
        <v>2215</v>
      </c>
      <c r="B818" s="2" t="s">
        <v>2216</v>
      </c>
      <c r="C818" s="2" t="s">
        <v>26</v>
      </c>
      <c r="D818" s="2" t="s">
        <v>18</v>
      </c>
      <c r="E818" s="5">
        <v>-29248</v>
      </c>
      <c r="F818" s="3" t="s">
        <v>395</v>
      </c>
      <c r="G818" s="3" t="s">
        <v>33</v>
      </c>
      <c r="H818" s="2" t="s">
        <v>65</v>
      </c>
      <c r="I818" s="2" t="s">
        <v>2217</v>
      </c>
      <c r="J818" s="3" t="str">
        <f>HYPERLINK("https://www.boe.es/gazeta/dias/1819/12/02/pdfs/GMD-1819-148.pdf#page=6","Abrir facsímil")</f>
        <v>Abrir facsímil</v>
      </c>
      <c r="K818" s="3" t="s">
        <v>67</v>
      </c>
    </row>
    <row r="819" spans="1:11" ht="42" customHeight="1">
      <c r="A819" s="2" t="s">
        <v>2218</v>
      </c>
      <c r="B819" s="2" t="s">
        <v>2219</v>
      </c>
      <c r="C819" s="2" t="s">
        <v>80</v>
      </c>
      <c r="D819" s="2" t="s">
        <v>81</v>
      </c>
      <c r="E819" s="5">
        <v>-29367</v>
      </c>
      <c r="F819" s="3" t="s">
        <v>571</v>
      </c>
      <c r="G819" s="3" t="s">
        <v>28</v>
      </c>
      <c r="H819" s="2" t="s">
        <v>65</v>
      </c>
      <c r="I819" s="2" t="s">
        <v>2220</v>
      </c>
      <c r="J819" s="3" t="str">
        <f>HYPERLINK("https://www.boe.es/gazeta/dias/1819/08/05/pdfs/GMD-1819-94.pdf#page=8","Abrir facsímil")</f>
        <v>Abrir facsímil</v>
      </c>
      <c r="K819" s="3" t="s">
        <v>67</v>
      </c>
    </row>
    <row r="820" spans="1:11" ht="42" customHeight="1">
      <c r="A820" s="2" t="s">
        <v>2221</v>
      </c>
      <c r="B820" s="2" t="s">
        <v>2221</v>
      </c>
      <c r="C820" s="2" t="s">
        <v>59</v>
      </c>
      <c r="D820" s="2" t="s">
        <v>18</v>
      </c>
      <c r="E820" s="5">
        <v>-29493</v>
      </c>
      <c r="F820" s="3" t="s">
        <v>404</v>
      </c>
      <c r="G820" s="3" t="s">
        <v>55</v>
      </c>
      <c r="H820" s="2" t="s">
        <v>65</v>
      </c>
      <c r="I820" s="2" t="s">
        <v>2222</v>
      </c>
      <c r="J820" s="3" t="str">
        <f>HYPERLINK("https://www.boe.es/gazeta/dias/1819/04/01/pdfs/GMD-1819-39.pdf#page=7","Abrir facsímil")</f>
        <v>Abrir facsímil</v>
      </c>
      <c r="K820" s="3" t="s">
        <v>67</v>
      </c>
    </row>
    <row r="821" spans="1:11" ht="42" customHeight="1">
      <c r="A821" s="2" t="s">
        <v>2221</v>
      </c>
      <c r="B821" s="2" t="s">
        <v>2221</v>
      </c>
      <c r="C821" s="2" t="s">
        <v>63</v>
      </c>
      <c r="D821" s="2" t="s">
        <v>43</v>
      </c>
      <c r="E821" s="5">
        <v>-29383</v>
      </c>
      <c r="F821" s="3" t="s">
        <v>631</v>
      </c>
      <c r="G821" s="3" t="s">
        <v>28</v>
      </c>
      <c r="H821" s="2" t="s">
        <v>65</v>
      </c>
      <c r="I821" s="2" t="s">
        <v>2223</v>
      </c>
      <c r="J821" s="3" t="str">
        <f>HYPERLINK("https://www.boe.es/gazeta/dias/1819/07/20/pdfs/GMD-1819-87.pdf#page=8","Abrir facsímil")</f>
        <v>Abrir facsímil</v>
      </c>
      <c r="K821" s="3" t="s">
        <v>67</v>
      </c>
    </row>
    <row r="822" spans="1:11" ht="42" customHeight="1">
      <c r="A822" s="2" t="s">
        <v>2224</v>
      </c>
      <c r="B822" s="2" t="s">
        <v>2225</v>
      </c>
      <c r="C822" s="2" t="s">
        <v>17</v>
      </c>
      <c r="D822" s="2" t="s">
        <v>18</v>
      </c>
      <c r="E822" s="5">
        <v>-29260</v>
      </c>
      <c r="F822" s="3" t="s">
        <v>93</v>
      </c>
      <c r="G822" s="3" t="s">
        <v>33</v>
      </c>
      <c r="H822" s="2" t="s">
        <v>65</v>
      </c>
      <c r="I822" s="2" t="s">
        <v>2226</v>
      </c>
      <c r="J822" s="3" t="str">
        <f>HYPERLINK("https://www.boe.es/gazeta/dias/1819/11/20/pdfs/GMD-1819-143.pdf#page=6","Abrir facsímil")</f>
        <v>Abrir facsímil</v>
      </c>
      <c r="K822" s="3" t="s">
        <v>67</v>
      </c>
    </row>
    <row r="823" spans="1:11" ht="42" customHeight="1">
      <c r="A823" s="2" t="s">
        <v>2227</v>
      </c>
      <c r="B823" s="2" t="s">
        <v>2228</v>
      </c>
      <c r="C823" s="2" t="s">
        <v>63</v>
      </c>
      <c r="D823" s="2" t="s">
        <v>43</v>
      </c>
      <c r="E823" s="5">
        <v>-29281</v>
      </c>
      <c r="F823" s="3" t="s">
        <v>19</v>
      </c>
      <c r="G823" s="3" t="s">
        <v>28</v>
      </c>
      <c r="H823" s="2" t="s">
        <v>65</v>
      </c>
      <c r="I823" s="2" t="s">
        <v>2229</v>
      </c>
      <c r="J823" s="3" t="str">
        <f>HYPERLINK("https://www.boe.es/gazeta/dias/1819/10/30/pdfs/GMD-1819-134.pdf#page=8","Abrir facsímil")</f>
        <v>Abrir facsímil</v>
      </c>
      <c r="K823" s="3" t="s">
        <v>67</v>
      </c>
    </row>
    <row r="824" spans="1:11" ht="42" customHeight="1">
      <c r="A824" s="2" t="s">
        <v>2230</v>
      </c>
      <c r="B824" s="2" t="s">
        <v>2231</v>
      </c>
      <c r="C824" s="2" t="s">
        <v>246</v>
      </c>
      <c r="D824" s="2" t="s">
        <v>18</v>
      </c>
      <c r="E824" s="5">
        <v>-29323</v>
      </c>
      <c r="F824" s="3" t="s">
        <v>270</v>
      </c>
      <c r="G824" s="3" t="s">
        <v>28</v>
      </c>
      <c r="H824" s="2" t="s">
        <v>65</v>
      </c>
      <c r="I824" s="2" t="s">
        <v>2232</v>
      </c>
      <c r="J824" s="3" t="str">
        <f>HYPERLINK("https://www.boe.es/gazeta/dias/1819/09/18/pdfs/GMD-1819-115.pdf#page=8","Abrir facsímil")</f>
        <v>Abrir facsímil</v>
      </c>
      <c r="K824" s="3" t="s">
        <v>67</v>
      </c>
    </row>
    <row r="825" spans="1:11" ht="42" customHeight="1">
      <c r="A825" s="2" t="s">
        <v>2233</v>
      </c>
      <c r="B825" s="2" t="s">
        <v>2234</v>
      </c>
      <c r="C825" s="2" t="s">
        <v>80</v>
      </c>
      <c r="D825" s="2" t="s">
        <v>81</v>
      </c>
      <c r="E825" s="5">
        <v>-29409</v>
      </c>
      <c r="F825" s="3" t="s">
        <v>106</v>
      </c>
      <c r="G825" s="3" t="s">
        <v>28</v>
      </c>
      <c r="H825" s="2" t="s">
        <v>21</v>
      </c>
      <c r="I825" s="2" t="s">
        <v>2235</v>
      </c>
      <c r="J825" s="3" t="str">
        <f>HYPERLINK("https://www.boe.es/gazeta/dias/1819/06/24/pdfs/GMD-1819-76.pdf#page=8","Abrir facsímil")</f>
        <v>Abrir facsímil</v>
      </c>
      <c r="K825" s="3" t="s">
        <v>23</v>
      </c>
    </row>
    <row r="826" spans="1:11" ht="42" customHeight="1">
      <c r="A826" s="2" t="s">
        <v>2236</v>
      </c>
      <c r="B826" s="2" t="s">
        <v>2237</v>
      </c>
      <c r="C826" s="2" t="s">
        <v>63</v>
      </c>
      <c r="D826" s="2" t="s">
        <v>43</v>
      </c>
      <c r="E826" s="5">
        <v>-29570</v>
      </c>
      <c r="F826" s="3" t="s">
        <v>2008</v>
      </c>
      <c r="G826" s="3" t="s">
        <v>55</v>
      </c>
      <c r="H826" s="2" t="s">
        <v>65</v>
      </c>
      <c r="I826" s="2" t="s">
        <v>2238</v>
      </c>
      <c r="J826" s="3" t="str">
        <f>HYPERLINK("https://www.boe.es/gazeta/dias/1819/01/14/pdfs/GMD-1819-6.pdf#page=7","Abrir facsímil")</f>
        <v>Abrir facsímil</v>
      </c>
      <c r="K826" s="3" t="s">
        <v>67</v>
      </c>
    </row>
    <row r="827" spans="1:11" ht="42" customHeight="1">
      <c r="A827" s="2" t="s">
        <v>2239</v>
      </c>
      <c r="B827" s="2" t="s">
        <v>2240</v>
      </c>
      <c r="C827" s="2" t="s">
        <v>80</v>
      </c>
      <c r="D827" s="2" t="s">
        <v>81</v>
      </c>
      <c r="E827" s="5">
        <v>-29260</v>
      </c>
      <c r="F827" s="3" t="s">
        <v>93</v>
      </c>
      <c r="G827" s="3" t="s">
        <v>28</v>
      </c>
      <c r="H827" s="2" t="s">
        <v>65</v>
      </c>
      <c r="I827" s="2" t="s">
        <v>2241</v>
      </c>
      <c r="J827" s="3" t="str">
        <f>HYPERLINK("https://www.boe.es/gazeta/dias/1819/11/20/pdfs/GMD-1819-143.pdf#page=8","Abrir facsímil")</f>
        <v>Abrir facsímil</v>
      </c>
      <c r="K827" s="3" t="s">
        <v>67</v>
      </c>
    </row>
    <row r="828" spans="1:11" ht="42" customHeight="1">
      <c r="A828" s="2" t="s">
        <v>2242</v>
      </c>
      <c r="B828" s="2" t="s">
        <v>2243</v>
      </c>
      <c r="C828" s="2" t="s">
        <v>136</v>
      </c>
      <c r="D828" s="2" t="s">
        <v>18</v>
      </c>
      <c r="E828" s="5">
        <v>-29467</v>
      </c>
      <c r="F828" s="3" t="s">
        <v>1712</v>
      </c>
      <c r="G828" s="3" t="s">
        <v>102</v>
      </c>
      <c r="H828" s="2" t="s">
        <v>65</v>
      </c>
      <c r="I828" s="2" t="s">
        <v>2244</v>
      </c>
      <c r="J828" s="3" t="str">
        <f>HYPERLINK("https://www.boe.es/gazeta/dias/1819/04/27/pdfs/GMD-1819-50.pdf#page=3","Abrir facsímil")</f>
        <v>Abrir facsímil</v>
      </c>
      <c r="K828" s="3" t="s">
        <v>67</v>
      </c>
    </row>
    <row r="829" spans="1:11" ht="42" customHeight="1">
      <c r="A829" s="2" t="s">
        <v>2245</v>
      </c>
      <c r="B829" s="2" t="s">
        <v>2246</v>
      </c>
      <c r="C829" s="2" t="s">
        <v>17</v>
      </c>
      <c r="D829" s="2" t="s">
        <v>18</v>
      </c>
      <c r="E829" s="5">
        <v>-29281</v>
      </c>
      <c r="F829" s="3" t="s">
        <v>19</v>
      </c>
      <c r="G829" s="3" t="s">
        <v>20</v>
      </c>
      <c r="H829" s="2" t="s">
        <v>65</v>
      </c>
      <c r="I829" s="2" t="s">
        <v>2247</v>
      </c>
      <c r="J829" s="3" t="str">
        <f>HYPERLINK("https://www.boe.es/gazeta/dias/1819/10/30/pdfs/GMD-1819-134.pdf#page=10","Abrir facsímil")</f>
        <v>Abrir facsímil</v>
      </c>
      <c r="K829" s="3" t="s">
        <v>67</v>
      </c>
    </row>
    <row r="830" spans="1:11" ht="42" customHeight="1">
      <c r="A830" s="2" t="s">
        <v>2248</v>
      </c>
      <c r="B830" s="2" t="s">
        <v>2249</v>
      </c>
      <c r="C830" s="2" t="s">
        <v>59</v>
      </c>
      <c r="D830" s="2" t="s">
        <v>454</v>
      </c>
      <c r="E830" s="5">
        <v>-29419</v>
      </c>
      <c r="F830" s="3" t="s">
        <v>1491</v>
      </c>
      <c r="G830" s="3" t="s">
        <v>259</v>
      </c>
      <c r="H830" s="2" t="s">
        <v>65</v>
      </c>
      <c r="I830" s="2" t="s">
        <v>2250</v>
      </c>
      <c r="J830" s="3" t="str">
        <f>HYPERLINK("https://www.boe.es/gazeta/dias/1819/06/14/pdfs/GMD-1819-71E.pdf#page=2","Abrir facsímil")</f>
        <v>Abrir facsímil</v>
      </c>
      <c r="K830" s="3" t="s">
        <v>67</v>
      </c>
    </row>
    <row r="831" spans="1:11" ht="42" customHeight="1">
      <c r="A831" s="2" t="s">
        <v>2251</v>
      </c>
      <c r="B831" s="2" t="s">
        <v>2252</v>
      </c>
      <c r="C831" s="2" t="s">
        <v>59</v>
      </c>
      <c r="D831" s="2" t="s">
        <v>18</v>
      </c>
      <c r="E831" s="5">
        <v>-29540</v>
      </c>
      <c r="F831" s="3" t="s">
        <v>154</v>
      </c>
      <c r="G831" s="3" t="s">
        <v>55</v>
      </c>
      <c r="H831" s="2" t="s">
        <v>65</v>
      </c>
      <c r="I831" s="2" t="s">
        <v>2253</v>
      </c>
      <c r="J831" s="3" t="str">
        <f>HYPERLINK("https://www.boe.es/gazeta/dias/1819/02/13/pdfs/GMD-1819-19.pdf#page=7","Abrir facsímil")</f>
        <v>Abrir facsímil</v>
      </c>
      <c r="K831" s="3" t="s">
        <v>67</v>
      </c>
    </row>
    <row r="832" spans="1:11" ht="42" customHeight="1">
      <c r="A832" s="2" t="s">
        <v>2254</v>
      </c>
      <c r="B832" s="2" t="s">
        <v>2255</v>
      </c>
      <c r="C832" s="2" t="s">
        <v>63</v>
      </c>
      <c r="D832" s="2" t="s">
        <v>43</v>
      </c>
      <c r="E832" s="5">
        <v>-29304</v>
      </c>
      <c r="F832" s="3" t="s">
        <v>519</v>
      </c>
      <c r="G832" s="3" t="s">
        <v>55</v>
      </c>
      <c r="H832" s="2" t="s">
        <v>65</v>
      </c>
      <c r="I832" s="2" t="s">
        <v>2256</v>
      </c>
      <c r="J832" s="3" t="str">
        <f>HYPERLINK("https://www.boe.es/gazeta/dias/1819/10/07/pdfs/GMD-1819-123.pdf#page=7","Abrir facsímil")</f>
        <v>Abrir facsímil</v>
      </c>
      <c r="K832" s="3" t="s">
        <v>67</v>
      </c>
    </row>
    <row r="833" spans="1:11" ht="42" customHeight="1">
      <c r="A833" s="2" t="s">
        <v>2257</v>
      </c>
      <c r="B833" s="2" t="s">
        <v>2258</v>
      </c>
      <c r="C833" s="2" t="s">
        <v>59</v>
      </c>
      <c r="D833" s="2" t="s">
        <v>18</v>
      </c>
      <c r="E833" s="5">
        <v>-29325</v>
      </c>
      <c r="F833" s="3" t="s">
        <v>174</v>
      </c>
      <c r="G833" s="3" t="s">
        <v>33</v>
      </c>
      <c r="H833" s="2" t="s">
        <v>65</v>
      </c>
      <c r="I833" s="2" t="s">
        <v>2259</v>
      </c>
      <c r="J833" s="3" t="str">
        <f>HYPERLINK("https://www.boe.es/gazeta/dias/1819/09/16/pdfs/GMD-1819-113.pdf#page=6","Abrir facsímil")</f>
        <v>Abrir facsímil</v>
      </c>
      <c r="K833" s="3" t="s">
        <v>67</v>
      </c>
    </row>
    <row r="834" spans="1:11" ht="42" customHeight="1">
      <c r="A834" s="2" t="s">
        <v>2260</v>
      </c>
      <c r="B834" s="2" t="s">
        <v>2261</v>
      </c>
      <c r="C834" s="2" t="s">
        <v>59</v>
      </c>
      <c r="D834" s="2" t="s">
        <v>18</v>
      </c>
      <c r="E834" s="5">
        <v>-29292</v>
      </c>
      <c r="F834" s="3" t="s">
        <v>875</v>
      </c>
      <c r="G834" s="3" t="s">
        <v>28</v>
      </c>
      <c r="H834" s="2" t="s">
        <v>65</v>
      </c>
      <c r="I834" s="2" t="s">
        <v>2262</v>
      </c>
      <c r="J834" s="3" t="str">
        <f>HYPERLINK("https://www.boe.es/gazeta/dias/1819/10/19/pdfs/GMD-1819-128.pdf#page=8","Abrir facsímil")</f>
        <v>Abrir facsímil</v>
      </c>
      <c r="K834" s="3" t="s">
        <v>67</v>
      </c>
    </row>
    <row r="835" spans="1:11" ht="42" customHeight="1">
      <c r="A835" s="2" t="s">
        <v>2263</v>
      </c>
      <c r="B835" s="2" t="s">
        <v>2263</v>
      </c>
      <c r="C835" s="2" t="s">
        <v>63</v>
      </c>
      <c r="D835" s="2" t="s">
        <v>43</v>
      </c>
      <c r="E835" s="5">
        <v>-29437</v>
      </c>
      <c r="F835" s="3" t="s">
        <v>1147</v>
      </c>
      <c r="G835" s="3" t="s">
        <v>28</v>
      </c>
      <c r="H835" s="2" t="s">
        <v>65</v>
      </c>
      <c r="I835" s="2" t="s">
        <v>2264</v>
      </c>
      <c r="J835" s="3" t="str">
        <f>HYPERLINK("https://www.boe.es/gazeta/dias/1819/05/27/pdfs/GMD-1819-63.pdf#page=8","Abrir facsímil")</f>
        <v>Abrir facsímil</v>
      </c>
      <c r="K835" s="3" t="s">
        <v>67</v>
      </c>
    </row>
    <row r="836" spans="1:11" ht="42" customHeight="1">
      <c r="A836" s="2" t="s">
        <v>2265</v>
      </c>
      <c r="B836" s="2" t="s">
        <v>2266</v>
      </c>
      <c r="C836" s="2" t="s">
        <v>215</v>
      </c>
      <c r="D836" s="2" t="s">
        <v>18</v>
      </c>
      <c r="E836" s="5">
        <v>-29521</v>
      </c>
      <c r="F836" s="3" t="s">
        <v>1002</v>
      </c>
      <c r="G836" s="3" t="s">
        <v>55</v>
      </c>
      <c r="H836" s="2" t="s">
        <v>21</v>
      </c>
      <c r="I836" s="2" t="s">
        <v>2267</v>
      </c>
      <c r="J836" s="3" t="str">
        <f>HYPERLINK("https://www.boe.es/gazeta/dias/1819/03/04/pdfs/GMD-1819-27.pdf#page=7","Abrir facsímil")</f>
        <v>Abrir facsímil</v>
      </c>
      <c r="K836" s="3" t="s">
        <v>23</v>
      </c>
    </row>
    <row r="837" spans="1:11" ht="42" customHeight="1">
      <c r="A837" s="2" t="s">
        <v>2268</v>
      </c>
      <c r="B837" s="2" t="s">
        <v>2269</v>
      </c>
      <c r="C837" s="2" t="s">
        <v>80</v>
      </c>
      <c r="D837" s="2" t="s">
        <v>454</v>
      </c>
      <c r="E837" s="5">
        <v>-29287</v>
      </c>
      <c r="F837" s="3" t="s">
        <v>455</v>
      </c>
      <c r="G837" s="3" t="s">
        <v>456</v>
      </c>
      <c r="H837" s="2" t="s">
        <v>21</v>
      </c>
      <c r="I837" s="2" t="s">
        <v>2270</v>
      </c>
      <c r="J837" s="3" t="str">
        <f>HYPERLINK("https://www.boe.es/gazeta/dias/1819/10/24/pdfs/GMD-1819-131E.pdf#page=9","Abrir facsímil")</f>
        <v>Abrir facsímil</v>
      </c>
      <c r="K837" s="3" t="s">
        <v>23</v>
      </c>
    </row>
    <row r="838" spans="1:11" ht="42" customHeight="1">
      <c r="A838" s="2" t="s">
        <v>2271</v>
      </c>
      <c r="B838" s="2" t="s">
        <v>2272</v>
      </c>
      <c r="C838" s="2" t="s">
        <v>80</v>
      </c>
      <c r="D838" s="2" t="s">
        <v>81</v>
      </c>
      <c r="E838" s="5">
        <v>-29507</v>
      </c>
      <c r="F838" s="3" t="s">
        <v>1928</v>
      </c>
      <c r="G838" s="3" t="s">
        <v>55</v>
      </c>
      <c r="H838" s="2" t="s">
        <v>65</v>
      </c>
      <c r="I838" s="2" t="s">
        <v>2273</v>
      </c>
      <c r="J838" s="3" t="str">
        <f>HYPERLINK("https://www.boe.es/gazeta/dias/1819/03/18/pdfs/GMD-1819-33.pdf#page=7","Abrir facsímil")</f>
        <v>Abrir facsímil</v>
      </c>
      <c r="K838" s="3" t="s">
        <v>67</v>
      </c>
    </row>
    <row r="839" spans="1:11" ht="42" customHeight="1">
      <c r="A839" s="2" t="s">
        <v>2271</v>
      </c>
      <c r="B839" s="2" t="s">
        <v>2272</v>
      </c>
      <c r="C839" s="2" t="s">
        <v>80</v>
      </c>
      <c r="D839" s="2" t="s">
        <v>454</v>
      </c>
      <c r="E839" s="5">
        <v>-29287</v>
      </c>
      <c r="F839" s="3" t="s">
        <v>455</v>
      </c>
      <c r="G839" s="3" t="s">
        <v>456</v>
      </c>
      <c r="H839" s="2" t="s">
        <v>65</v>
      </c>
      <c r="I839" s="2" t="s">
        <v>2274</v>
      </c>
      <c r="J839" s="3" t="str">
        <f>HYPERLINK("https://www.boe.es/gazeta/dias/1819/10/24/pdfs/GMD-1819-131E.pdf#page=9","Abrir facsímil")</f>
        <v>Abrir facsímil</v>
      </c>
      <c r="K839" s="3" t="s">
        <v>67</v>
      </c>
    </row>
    <row r="840" spans="1:11" ht="42" customHeight="1">
      <c r="A840" s="2" t="s">
        <v>2275</v>
      </c>
      <c r="B840" s="2" t="s">
        <v>2276</v>
      </c>
      <c r="C840" s="2" t="s">
        <v>59</v>
      </c>
      <c r="D840" s="2" t="s">
        <v>18</v>
      </c>
      <c r="E840" s="5">
        <v>-29355</v>
      </c>
      <c r="F840" s="3" t="s">
        <v>347</v>
      </c>
      <c r="G840" s="3" t="s">
        <v>28</v>
      </c>
      <c r="H840" s="2" t="s">
        <v>65</v>
      </c>
      <c r="I840" s="2" t="s">
        <v>2277</v>
      </c>
      <c r="J840" s="3" t="str">
        <f>HYPERLINK("https://www.boe.es/gazeta/dias/1819/08/17/pdfs/GMD-1819-99.pdf#page=8","Abrir facsímil")</f>
        <v>Abrir facsímil</v>
      </c>
      <c r="K840" s="3" t="s">
        <v>67</v>
      </c>
    </row>
    <row r="841" spans="1:11" ht="42" customHeight="1">
      <c r="A841" s="2" t="s">
        <v>2278</v>
      </c>
      <c r="B841" s="2" t="s">
        <v>2279</v>
      </c>
      <c r="C841" s="2" t="s">
        <v>80</v>
      </c>
      <c r="D841" s="2" t="s">
        <v>81</v>
      </c>
      <c r="E841" s="5">
        <v>-29465</v>
      </c>
      <c r="F841" s="3" t="s">
        <v>1934</v>
      </c>
      <c r="G841" s="3" t="s">
        <v>38</v>
      </c>
      <c r="H841" s="2" t="s">
        <v>65</v>
      </c>
      <c r="I841" s="2" t="s">
        <v>2280</v>
      </c>
      <c r="J841" s="3" t="str">
        <f>HYPERLINK("https://www.boe.es/gazeta/dias/1819/04/29/pdfs/GMD-1819-51.pdf#page=5","Abrir facsímil")</f>
        <v>Abrir facsímil</v>
      </c>
      <c r="K841" s="3" t="s">
        <v>67</v>
      </c>
    </row>
    <row r="842" spans="1:11" ht="42" customHeight="1">
      <c r="A842" s="2" t="s">
        <v>2281</v>
      </c>
      <c r="B842" s="2" t="s">
        <v>2281</v>
      </c>
      <c r="C842" s="2" t="s">
        <v>63</v>
      </c>
      <c r="D842" s="2" t="s">
        <v>43</v>
      </c>
      <c r="E842" s="5">
        <v>-29463</v>
      </c>
      <c r="F842" s="3" t="s">
        <v>114</v>
      </c>
      <c r="G842" s="3" t="s">
        <v>296</v>
      </c>
      <c r="H842" s="2" t="s">
        <v>65</v>
      </c>
      <c r="I842" s="2" t="s">
        <v>2282</v>
      </c>
      <c r="J842" s="3" t="str">
        <f>HYPERLINK("https://www.boe.es/gazeta/dias/1819/05/01/pdfs/GMD-1819-52.pdf#page=4","Abrir facsímil")</f>
        <v>Abrir facsímil</v>
      </c>
      <c r="K842" s="3" t="s">
        <v>67</v>
      </c>
    </row>
    <row r="843" spans="1:11" ht="42" customHeight="1">
      <c r="A843" s="2" t="s">
        <v>2283</v>
      </c>
      <c r="B843" s="2" t="s">
        <v>2283</v>
      </c>
      <c r="C843" s="2" t="s">
        <v>80</v>
      </c>
      <c r="D843" s="2" t="s">
        <v>81</v>
      </c>
      <c r="E843" s="5">
        <v>-29502</v>
      </c>
      <c r="F843" s="3" t="s">
        <v>86</v>
      </c>
      <c r="G843" s="3" t="s">
        <v>102</v>
      </c>
      <c r="H843" s="2" t="s">
        <v>65</v>
      </c>
      <c r="I843" s="2" t="s">
        <v>2284</v>
      </c>
      <c r="J843" s="3" t="str">
        <f>HYPERLINK("https://www.boe.es/gazeta/dias/1819/03/23/pdfs/GMD-1819-35.pdf#page=3","Abrir facsímil")</f>
        <v>Abrir facsímil</v>
      </c>
      <c r="K843" s="3" t="s">
        <v>67</v>
      </c>
    </row>
    <row r="844" spans="1:11" ht="42" customHeight="1">
      <c r="A844" s="2" t="s">
        <v>2285</v>
      </c>
      <c r="B844" s="2" t="s">
        <v>2286</v>
      </c>
      <c r="C844" s="2" t="s">
        <v>59</v>
      </c>
      <c r="D844" s="2" t="s">
        <v>18</v>
      </c>
      <c r="E844" s="5">
        <v>-29575</v>
      </c>
      <c r="F844" s="3" t="s">
        <v>77</v>
      </c>
      <c r="G844" s="3" t="s">
        <v>55</v>
      </c>
      <c r="H844" s="2" t="s">
        <v>21</v>
      </c>
      <c r="I844" s="2" t="s">
        <v>2287</v>
      </c>
      <c r="J844" s="3" t="str">
        <f>HYPERLINK("https://www.boe.es/gazeta/dias/1819/01/09/pdfs/GMD-1819-4.pdf#page=7","Abrir facsímil")</f>
        <v>Abrir facsímil</v>
      </c>
      <c r="K844" s="3" t="s">
        <v>23</v>
      </c>
    </row>
    <row r="845" spans="1:11" ht="42" customHeight="1">
      <c r="A845" s="2" t="s">
        <v>2288</v>
      </c>
      <c r="B845" s="2" t="s">
        <v>2289</v>
      </c>
      <c r="C845" s="2" t="s">
        <v>136</v>
      </c>
      <c r="D845" s="2" t="s">
        <v>18</v>
      </c>
      <c r="E845" s="5">
        <v>-29521</v>
      </c>
      <c r="F845" s="3" t="s">
        <v>1002</v>
      </c>
      <c r="G845" s="3" t="s">
        <v>33</v>
      </c>
      <c r="H845" s="2" t="s">
        <v>65</v>
      </c>
      <c r="I845" s="2" t="s">
        <v>2290</v>
      </c>
      <c r="J845" s="3" t="str">
        <f>HYPERLINK("https://www.boe.es/gazeta/dias/1819/03/04/pdfs/GMD-1819-27.pdf#page=6","Abrir facsímil")</f>
        <v>Abrir facsímil</v>
      </c>
      <c r="K845" s="3" t="s">
        <v>67</v>
      </c>
    </row>
    <row r="846" spans="1:11" ht="42" customHeight="1">
      <c r="A846" s="2" t="s">
        <v>2291</v>
      </c>
      <c r="B846" s="2" t="s">
        <v>2292</v>
      </c>
      <c r="C846" s="2" t="s">
        <v>215</v>
      </c>
      <c r="D846" s="2" t="s">
        <v>18</v>
      </c>
      <c r="E846" s="5">
        <v>-29516</v>
      </c>
      <c r="F846" s="3" t="s">
        <v>137</v>
      </c>
      <c r="G846" s="3" t="s">
        <v>94</v>
      </c>
      <c r="H846" s="2" t="s">
        <v>65</v>
      </c>
      <c r="I846" s="2" t="s">
        <v>2293</v>
      </c>
      <c r="J846" s="3" t="str">
        <f>HYPERLINK("https://www.boe.es/gazeta/dias/1819/03/09/pdfs/GMD-1819-29.pdf#page=11","Abrir facsímil")</f>
        <v>Abrir facsímil</v>
      </c>
      <c r="K846" s="3" t="s">
        <v>67</v>
      </c>
    </row>
    <row r="847" spans="1:11" ht="42" customHeight="1">
      <c r="A847" s="2" t="s">
        <v>2294</v>
      </c>
      <c r="B847" s="2" t="s">
        <v>2294</v>
      </c>
      <c r="C847" s="2" t="s">
        <v>80</v>
      </c>
      <c r="D847" s="2" t="s">
        <v>81</v>
      </c>
      <c r="E847" s="5">
        <v>-29472</v>
      </c>
      <c r="F847" s="3" t="s">
        <v>393</v>
      </c>
      <c r="G847" s="3" t="s">
        <v>55</v>
      </c>
      <c r="H847" s="2" t="s">
        <v>65</v>
      </c>
      <c r="I847" s="2" t="s">
        <v>2295</v>
      </c>
      <c r="J847" s="3" t="str">
        <f>HYPERLINK("https://www.boe.es/gazeta/dias/1819/04/22/pdfs/GMD-1819-48.pdf#page=7","Abrir facsímil")</f>
        <v>Abrir facsímil</v>
      </c>
      <c r="K847" s="3" t="s">
        <v>67</v>
      </c>
    </row>
    <row r="848" spans="1:11" ht="42" customHeight="1">
      <c r="A848" s="2" t="s">
        <v>2294</v>
      </c>
      <c r="B848" s="2" t="s">
        <v>2294</v>
      </c>
      <c r="C848" s="2" t="s">
        <v>80</v>
      </c>
      <c r="D848" s="2" t="s">
        <v>81</v>
      </c>
      <c r="E848" s="5">
        <v>-29416</v>
      </c>
      <c r="F848" s="3" t="s">
        <v>251</v>
      </c>
      <c r="G848" s="3" t="s">
        <v>33</v>
      </c>
      <c r="H848" s="2" t="s">
        <v>65</v>
      </c>
      <c r="I848" s="2" t="s">
        <v>2296</v>
      </c>
      <c r="J848" s="3" t="str">
        <f>HYPERLINK("https://www.boe.es/gazeta/dias/1819/06/17/pdfs/GMD-1819-73.pdf#page=6","Abrir facsímil")</f>
        <v>Abrir facsímil</v>
      </c>
      <c r="K848" s="3" t="s">
        <v>67</v>
      </c>
    </row>
    <row r="849" spans="1:11" ht="42" customHeight="1">
      <c r="A849" s="2" t="s">
        <v>2297</v>
      </c>
      <c r="B849" s="2" t="s">
        <v>2297</v>
      </c>
      <c r="C849" s="2" t="s">
        <v>59</v>
      </c>
      <c r="D849" s="2" t="s">
        <v>18</v>
      </c>
      <c r="E849" s="5">
        <v>-29369</v>
      </c>
      <c r="F849" s="3" t="s">
        <v>231</v>
      </c>
      <c r="G849" s="3" t="s">
        <v>33</v>
      </c>
      <c r="H849" s="2" t="s">
        <v>65</v>
      </c>
      <c r="I849" s="2" t="s">
        <v>2298</v>
      </c>
      <c r="J849" s="3" t="str">
        <f>HYPERLINK("https://www.boe.es/gazeta/dias/1819/08/03/pdfs/GMD-1819-93.pdf#page=6","Abrir facsímil")</f>
        <v>Abrir facsímil</v>
      </c>
      <c r="K849" s="3" t="s">
        <v>67</v>
      </c>
    </row>
    <row r="850" spans="1:11" ht="42" customHeight="1">
      <c r="A850" s="2" t="s">
        <v>2299</v>
      </c>
      <c r="B850" s="2" t="s">
        <v>2300</v>
      </c>
      <c r="C850" s="2" t="s">
        <v>59</v>
      </c>
      <c r="D850" s="2" t="s">
        <v>18</v>
      </c>
      <c r="E850" s="5">
        <v>-29355</v>
      </c>
      <c r="F850" s="3" t="s">
        <v>347</v>
      </c>
      <c r="G850" s="3" t="s">
        <v>348</v>
      </c>
      <c r="H850" s="2" t="s">
        <v>65</v>
      </c>
      <c r="I850" s="2" t="s">
        <v>2301</v>
      </c>
      <c r="J850" s="3" t="str">
        <f>HYPERLINK("https://www.boe.es/gazeta/dias/1819/08/17/pdfs/GMD-1819-99.pdf#page=6","Abrir facsímil")</f>
        <v>Abrir facsímil</v>
      </c>
      <c r="K850" s="3" t="s">
        <v>67</v>
      </c>
    </row>
    <row r="851" spans="1:11" ht="42" customHeight="1">
      <c r="A851" s="2" t="s">
        <v>2302</v>
      </c>
      <c r="B851" s="2" t="s">
        <v>2303</v>
      </c>
      <c r="C851" s="2" t="s">
        <v>80</v>
      </c>
      <c r="D851" s="2" t="s">
        <v>81</v>
      </c>
      <c r="E851" s="5">
        <v>-29486</v>
      </c>
      <c r="F851" s="3" t="s">
        <v>330</v>
      </c>
      <c r="G851" s="3" t="s">
        <v>102</v>
      </c>
      <c r="H851" s="2" t="s">
        <v>65</v>
      </c>
      <c r="I851" s="2" t="s">
        <v>2304</v>
      </c>
      <c r="J851" s="3" t="str">
        <f>HYPERLINK("https://www.boe.es/gazeta/dias/1819/04/08/pdfs/GMD-1819-42.pdf#page=3","Abrir facsímil")</f>
        <v>Abrir facsímil</v>
      </c>
      <c r="K851" s="3" t="s">
        <v>67</v>
      </c>
    </row>
    <row r="852" spans="1:11" ht="42" customHeight="1">
      <c r="A852" s="2" t="s">
        <v>2305</v>
      </c>
      <c r="B852" s="2" t="s">
        <v>2306</v>
      </c>
      <c r="C852" s="2" t="s">
        <v>63</v>
      </c>
      <c r="D852" s="2" t="s">
        <v>43</v>
      </c>
      <c r="E852" s="5">
        <v>-29502</v>
      </c>
      <c r="F852" s="3" t="s">
        <v>86</v>
      </c>
      <c r="G852" s="3" t="s">
        <v>28</v>
      </c>
      <c r="H852" s="2" t="s">
        <v>65</v>
      </c>
      <c r="I852" s="2" t="s">
        <v>2307</v>
      </c>
      <c r="J852" s="3" t="str">
        <f>HYPERLINK("https://www.boe.es/gazeta/dias/1819/03/23/pdfs/GMD-1819-35.pdf#page=8","Abrir facsímil")</f>
        <v>Abrir facsímil</v>
      </c>
      <c r="K852" s="3" t="s">
        <v>67</v>
      </c>
    </row>
    <row r="853" spans="1:11" ht="42" customHeight="1">
      <c r="A853" s="2" t="s">
        <v>2308</v>
      </c>
      <c r="B853" s="2" t="s">
        <v>2309</v>
      </c>
      <c r="C853" s="2" t="s">
        <v>59</v>
      </c>
      <c r="D853" s="2" t="s">
        <v>18</v>
      </c>
      <c r="E853" s="5">
        <v>-29572</v>
      </c>
      <c r="F853" s="3" t="s">
        <v>589</v>
      </c>
      <c r="G853" s="3" t="s">
        <v>590</v>
      </c>
      <c r="H853" s="2" t="s">
        <v>65</v>
      </c>
      <c r="I853" s="2" t="s">
        <v>2310</v>
      </c>
      <c r="J853" s="3" t="str">
        <f>HYPERLINK("https://www.boe.es/gazeta/dias/1819/01/12/pdfs/GMD-1819-5.pdf#page=8","Abrir facsímil")</f>
        <v>Abrir facsímil</v>
      </c>
      <c r="K853" s="3" t="s">
        <v>67</v>
      </c>
    </row>
    <row r="854" spans="1:11" ht="42" customHeight="1">
      <c r="A854" s="2" t="s">
        <v>2311</v>
      </c>
      <c r="B854" s="2" t="s">
        <v>2312</v>
      </c>
      <c r="C854" s="2" t="s">
        <v>80</v>
      </c>
      <c r="D854" s="2" t="s">
        <v>81</v>
      </c>
      <c r="E854" s="5">
        <v>-29369</v>
      </c>
      <c r="F854" s="3" t="s">
        <v>231</v>
      </c>
      <c r="G854" s="3" t="s">
        <v>296</v>
      </c>
      <c r="H854" s="2" t="s">
        <v>65</v>
      </c>
      <c r="I854" s="2" t="s">
        <v>2313</v>
      </c>
      <c r="J854" s="3" t="str">
        <f>HYPERLINK("https://www.boe.es/gazeta/dias/1819/08/03/pdfs/GMD-1819-93.pdf#page=4","Abrir facsímil")</f>
        <v>Abrir facsímil</v>
      </c>
      <c r="K854" s="3" t="s">
        <v>67</v>
      </c>
    </row>
    <row r="855" spans="1:11" ht="42" customHeight="1">
      <c r="A855" s="2" t="s">
        <v>2314</v>
      </c>
      <c r="B855" s="2" t="s">
        <v>2314</v>
      </c>
      <c r="C855" s="2" t="s">
        <v>80</v>
      </c>
      <c r="D855" s="2" t="s">
        <v>81</v>
      </c>
      <c r="E855" s="5">
        <v>-29535</v>
      </c>
      <c r="F855" s="3" t="s">
        <v>200</v>
      </c>
      <c r="G855" s="3" t="s">
        <v>33</v>
      </c>
      <c r="H855" s="2" t="s">
        <v>65</v>
      </c>
      <c r="I855" s="2" t="s">
        <v>2315</v>
      </c>
      <c r="J855" s="3" t="str">
        <f>HYPERLINK("https://www.boe.es/gazeta/dias/1819/02/18/pdfs/GMD-1819-21.pdf#page=6","Abrir facsímil")</f>
        <v>Abrir facsímil</v>
      </c>
      <c r="K855" s="3" t="s">
        <v>67</v>
      </c>
    </row>
    <row r="856" spans="1:11" ht="42" customHeight="1">
      <c r="A856" s="2" t="s">
        <v>2316</v>
      </c>
      <c r="B856" s="2" t="s">
        <v>2317</v>
      </c>
      <c r="C856" s="2" t="s">
        <v>80</v>
      </c>
      <c r="D856" s="2" t="s">
        <v>81</v>
      </c>
      <c r="E856" s="5">
        <v>-29556</v>
      </c>
      <c r="F856" s="3" t="s">
        <v>255</v>
      </c>
      <c r="G856" s="3" t="s">
        <v>2318</v>
      </c>
      <c r="H856" s="2" t="s">
        <v>65</v>
      </c>
      <c r="I856" s="2" t="s">
        <v>2319</v>
      </c>
      <c r="J856" s="3" t="str">
        <f>HYPERLINK("https://www.boe.es/gazeta/dias/1819/01/28/pdfs/GMD-1819-12.pdf#page=4","Abrir facsímil")</f>
        <v>Abrir facsímil</v>
      </c>
      <c r="K856" s="3" t="s">
        <v>67</v>
      </c>
    </row>
    <row r="857" spans="1:11" ht="42" customHeight="1">
      <c r="A857" s="2" t="s">
        <v>2320</v>
      </c>
      <c r="B857" s="2" t="s">
        <v>2321</v>
      </c>
      <c r="C857" s="2" t="s">
        <v>80</v>
      </c>
      <c r="D857" s="2" t="s">
        <v>81</v>
      </c>
      <c r="E857" s="5">
        <v>-29535</v>
      </c>
      <c r="F857" s="3" t="s">
        <v>200</v>
      </c>
      <c r="G857" s="3" t="s">
        <v>296</v>
      </c>
      <c r="H857" s="2" t="s">
        <v>65</v>
      </c>
      <c r="I857" s="2" t="s">
        <v>2322</v>
      </c>
      <c r="J857" s="3" t="str">
        <f>HYPERLINK("https://www.boe.es/gazeta/dias/1819/02/18/pdfs/GMD-1819-21.pdf#page=4","Abrir facsímil")</f>
        <v>Abrir facsímil</v>
      </c>
      <c r="K857" s="3" t="s">
        <v>67</v>
      </c>
    </row>
    <row r="858" spans="1:11" ht="42" customHeight="1">
      <c r="A858" s="2" t="s">
        <v>2320</v>
      </c>
      <c r="B858" s="2" t="s">
        <v>2321</v>
      </c>
      <c r="C858" s="2" t="s">
        <v>80</v>
      </c>
      <c r="D858" s="2" t="s">
        <v>81</v>
      </c>
      <c r="E858" s="5">
        <v>-29271</v>
      </c>
      <c r="F858" s="3" t="s">
        <v>32</v>
      </c>
      <c r="G858" s="3" t="s">
        <v>2323</v>
      </c>
      <c r="H858" s="2" t="s">
        <v>65</v>
      </c>
      <c r="I858" s="2" t="s">
        <v>2324</v>
      </c>
      <c r="J858" s="3" t="str">
        <f>HYPERLINK("https://www.boe.es/gazeta/dias/1819/11/09/pdfs/GMD-1819-138.pdf#page=5","Abrir facsímil")</f>
        <v>Abrir facsímil</v>
      </c>
      <c r="K858" s="3" t="s">
        <v>67</v>
      </c>
    </row>
    <row r="859" spans="1:11" ht="42" customHeight="1">
      <c r="A859" s="2" t="s">
        <v>2320</v>
      </c>
      <c r="B859" s="2" t="s">
        <v>2321</v>
      </c>
      <c r="C859" s="2" t="s">
        <v>80</v>
      </c>
      <c r="D859" s="2" t="s">
        <v>81</v>
      </c>
      <c r="E859" s="5">
        <v>-29269</v>
      </c>
      <c r="F859" s="3" t="s">
        <v>565</v>
      </c>
      <c r="G859" s="3" t="s">
        <v>33</v>
      </c>
      <c r="H859" s="2" t="s">
        <v>65</v>
      </c>
      <c r="I859" s="2" t="s">
        <v>2325</v>
      </c>
      <c r="J859" s="3" t="str">
        <f>HYPERLINK("https://www.boe.es/gazeta/dias/1819/11/11/pdfs/GMD-1819-139.pdf#page=6","Abrir facsímil")</f>
        <v>Abrir facsímil</v>
      </c>
      <c r="K859" s="3" t="s">
        <v>67</v>
      </c>
    </row>
    <row r="860" spans="1:11" ht="42" customHeight="1">
      <c r="A860" s="2" t="s">
        <v>2326</v>
      </c>
      <c r="B860" s="2" t="s">
        <v>2326</v>
      </c>
      <c r="C860" s="2" t="s">
        <v>80</v>
      </c>
      <c r="D860" s="2" t="s">
        <v>81</v>
      </c>
      <c r="E860" s="5">
        <v>-29442</v>
      </c>
      <c r="F860" s="3" t="s">
        <v>427</v>
      </c>
      <c r="G860" s="3" t="s">
        <v>296</v>
      </c>
      <c r="H860" s="2" t="s">
        <v>65</v>
      </c>
      <c r="I860" s="2" t="s">
        <v>2327</v>
      </c>
      <c r="J860" s="3" t="str">
        <f>HYPERLINK("https://www.boe.es/gazeta/dias/1819/05/22/pdfs/GMD-1819-61.pdf#page=4","Abrir facsímil")</f>
        <v>Abrir facsímil</v>
      </c>
      <c r="K860" s="3" t="s">
        <v>67</v>
      </c>
    </row>
    <row r="861" spans="1:11" ht="42" customHeight="1">
      <c r="A861" s="2" t="s">
        <v>2326</v>
      </c>
      <c r="B861" s="2" t="s">
        <v>2326</v>
      </c>
      <c r="C861" s="2" t="s">
        <v>80</v>
      </c>
      <c r="D861" s="2" t="s">
        <v>81</v>
      </c>
      <c r="E861" s="5">
        <v>-29416</v>
      </c>
      <c r="F861" s="3" t="s">
        <v>251</v>
      </c>
      <c r="G861" s="3" t="s">
        <v>296</v>
      </c>
      <c r="H861" s="2" t="s">
        <v>65</v>
      </c>
      <c r="I861" s="2" t="s">
        <v>2328</v>
      </c>
      <c r="J861" s="3" t="str">
        <f>HYPERLINK("https://www.boe.es/gazeta/dias/1819/06/17/pdfs/GMD-1819-73.pdf#page=4","Abrir facsímil")</f>
        <v>Abrir facsímil</v>
      </c>
      <c r="K861" s="3" t="s">
        <v>67</v>
      </c>
    </row>
    <row r="862" spans="1:11" ht="42" customHeight="1">
      <c r="A862" s="2" t="s">
        <v>2329</v>
      </c>
      <c r="B862" s="2" t="s">
        <v>2329</v>
      </c>
      <c r="C862" s="2" t="s">
        <v>80</v>
      </c>
      <c r="D862" s="2" t="s">
        <v>81</v>
      </c>
      <c r="E862" s="5">
        <v>-29267</v>
      </c>
      <c r="F862" s="3" t="s">
        <v>370</v>
      </c>
      <c r="G862" s="3" t="s">
        <v>20</v>
      </c>
      <c r="H862" s="2" t="s">
        <v>65</v>
      </c>
      <c r="I862" s="2" t="s">
        <v>2330</v>
      </c>
      <c r="J862" s="3" t="str">
        <f>HYPERLINK("https://www.boe.es/gazeta/dias/1819/11/13/pdfs/GMD-1819-140.pdf#page=10","Abrir facsímil")</f>
        <v>Abrir facsímil</v>
      </c>
      <c r="K862" s="3" t="s">
        <v>67</v>
      </c>
    </row>
    <row r="863" spans="1:11" ht="42" customHeight="1">
      <c r="A863" s="2" t="s">
        <v>2331</v>
      </c>
      <c r="B863" s="2" t="s">
        <v>2332</v>
      </c>
      <c r="C863" s="2" t="s">
        <v>80</v>
      </c>
      <c r="D863" s="2" t="s">
        <v>81</v>
      </c>
      <c r="E863" s="5">
        <v>-29267</v>
      </c>
      <c r="F863" s="3" t="s">
        <v>370</v>
      </c>
      <c r="G863" s="3" t="s">
        <v>20</v>
      </c>
      <c r="H863" s="2" t="s">
        <v>21</v>
      </c>
      <c r="I863" s="2" t="s">
        <v>2333</v>
      </c>
      <c r="J863" s="3" t="str">
        <f>HYPERLINK("https://www.boe.es/gazeta/dias/1819/11/13/pdfs/GMD-1819-140.pdf#page=10","Abrir facsímil")</f>
        <v>Abrir facsímil</v>
      </c>
      <c r="K863" s="3" t="s">
        <v>23</v>
      </c>
    </row>
    <row r="864" spans="1:11" ht="42" customHeight="1">
      <c r="A864" s="2" t="s">
        <v>2334</v>
      </c>
      <c r="B864" s="2" t="s">
        <v>2334</v>
      </c>
      <c r="C864" s="2" t="s">
        <v>59</v>
      </c>
      <c r="D864" s="2" t="s">
        <v>18</v>
      </c>
      <c r="E864" s="5">
        <v>-29472</v>
      </c>
      <c r="F864" s="3" t="s">
        <v>393</v>
      </c>
      <c r="G864" s="3" t="s">
        <v>28</v>
      </c>
      <c r="H864" s="2" t="s">
        <v>65</v>
      </c>
      <c r="I864" s="2" t="s">
        <v>2335</v>
      </c>
      <c r="J864" s="3" t="str">
        <f>HYPERLINK("https://www.boe.es/gazeta/dias/1819/04/22/pdfs/GMD-1819-48.pdf#page=8","Abrir facsímil")</f>
        <v>Abrir facsímil</v>
      </c>
      <c r="K864" s="3" t="s">
        <v>67</v>
      </c>
    </row>
    <row r="865" spans="1:11" ht="42" customHeight="1">
      <c r="A865" s="2" t="s">
        <v>2336</v>
      </c>
      <c r="B865" s="2" t="s">
        <v>2337</v>
      </c>
      <c r="C865" s="2" t="s">
        <v>26</v>
      </c>
      <c r="D865" s="2" t="s">
        <v>18</v>
      </c>
      <c r="E865" s="5">
        <v>-29407</v>
      </c>
      <c r="F865" s="3" t="s">
        <v>64</v>
      </c>
      <c r="G865" s="3" t="s">
        <v>38</v>
      </c>
      <c r="H865" s="2" t="s">
        <v>65</v>
      </c>
      <c r="I865" s="2" t="s">
        <v>2338</v>
      </c>
      <c r="J865" s="3" t="str">
        <f>HYPERLINK("https://www.boe.es/gazeta/dias/1819/06/26/pdfs/GMD-1819-77.pdf#page=5","Abrir facsímil")</f>
        <v>Abrir facsímil</v>
      </c>
      <c r="K865" s="3" t="s">
        <v>67</v>
      </c>
    </row>
    <row r="866" spans="1:11" ht="42" customHeight="1">
      <c r="A866" s="2" t="s">
        <v>2339</v>
      </c>
      <c r="B866" s="2" t="s">
        <v>2339</v>
      </c>
      <c r="C866" s="2" t="s">
        <v>80</v>
      </c>
      <c r="D866" s="2" t="s">
        <v>81</v>
      </c>
      <c r="E866" s="5">
        <v>-29551</v>
      </c>
      <c r="F866" s="3" t="s">
        <v>2173</v>
      </c>
      <c r="G866" s="3" t="s">
        <v>28</v>
      </c>
      <c r="H866" s="2" t="s">
        <v>65</v>
      </c>
      <c r="I866" s="2" t="s">
        <v>2340</v>
      </c>
      <c r="J866" s="3" t="str">
        <f>HYPERLINK("https://www.boe.es/gazeta/dias/1819/02/02/pdfs/GMD-1819-14.pdf#page=8","Abrir facsímil")</f>
        <v>Abrir facsímil</v>
      </c>
      <c r="K866" s="3" t="s">
        <v>67</v>
      </c>
    </row>
    <row r="867" spans="1:11" ht="42" customHeight="1">
      <c r="A867" s="2" t="s">
        <v>2339</v>
      </c>
      <c r="B867" s="2" t="s">
        <v>2339</v>
      </c>
      <c r="C867" s="2" t="s">
        <v>42</v>
      </c>
      <c r="D867" s="2" t="s">
        <v>43</v>
      </c>
      <c r="E867" s="5">
        <v>-29446</v>
      </c>
      <c r="F867" s="3" t="s">
        <v>773</v>
      </c>
      <c r="G867" s="3" t="s">
        <v>28</v>
      </c>
      <c r="H867" s="2" t="s">
        <v>65</v>
      </c>
      <c r="I867" s="2" t="s">
        <v>2341</v>
      </c>
      <c r="J867" s="3" t="str">
        <f>HYPERLINK("https://www.boe.es/gazeta/dias/1819/05/18/pdfs/GMD-1819-59.pdf#page=8","Abrir facsímil")</f>
        <v>Abrir facsímil</v>
      </c>
      <c r="K867" s="3" t="s">
        <v>67</v>
      </c>
    </row>
    <row r="868" spans="1:11" ht="42" customHeight="1">
      <c r="A868" s="2" t="s">
        <v>2342</v>
      </c>
      <c r="B868" s="2" t="s">
        <v>2343</v>
      </c>
      <c r="C868" s="2" t="s">
        <v>26</v>
      </c>
      <c r="D868" s="2" t="s">
        <v>18</v>
      </c>
      <c r="E868" s="5">
        <v>-29467</v>
      </c>
      <c r="F868" s="3" t="s">
        <v>1712</v>
      </c>
      <c r="G868" s="3" t="s">
        <v>28</v>
      </c>
      <c r="H868" s="2" t="s">
        <v>65</v>
      </c>
      <c r="I868" s="2" t="s">
        <v>2344</v>
      </c>
      <c r="J868" s="3" t="str">
        <f>HYPERLINK("https://www.boe.es/gazeta/dias/1819/04/27/pdfs/GMD-1819-50.pdf#page=8","Abrir facsímil")</f>
        <v>Abrir facsímil</v>
      </c>
      <c r="K868" s="3" t="s">
        <v>67</v>
      </c>
    </row>
    <row r="869" spans="1:11" ht="42" customHeight="1">
      <c r="A869" s="2" t="s">
        <v>2345</v>
      </c>
      <c r="B869" s="2" t="s">
        <v>2346</v>
      </c>
      <c r="C869" s="2" t="s">
        <v>80</v>
      </c>
      <c r="D869" s="2" t="s">
        <v>454</v>
      </c>
      <c r="E869" s="5">
        <v>-29287</v>
      </c>
      <c r="F869" s="3" t="s">
        <v>455</v>
      </c>
      <c r="G869" s="3" t="s">
        <v>481</v>
      </c>
      <c r="H869" s="2" t="s">
        <v>65</v>
      </c>
      <c r="I869" s="2" t="s">
        <v>2347</v>
      </c>
      <c r="J869" s="3" t="str">
        <f>HYPERLINK("https://www.boe.es/gazeta/dias/1819/10/24/pdfs/GMD-1819-131E.pdf#page=8","Abrir facsímil")</f>
        <v>Abrir facsímil</v>
      </c>
      <c r="K869" s="3" t="s">
        <v>67</v>
      </c>
    </row>
    <row r="870" spans="1:11" ht="42" customHeight="1">
      <c r="A870" s="2" t="s">
        <v>2348</v>
      </c>
      <c r="B870" s="2" t="s">
        <v>2349</v>
      </c>
      <c r="C870" s="2" t="s">
        <v>59</v>
      </c>
      <c r="D870" s="2" t="s">
        <v>18</v>
      </c>
      <c r="E870" s="5">
        <v>-29537</v>
      </c>
      <c r="F870" s="3" t="s">
        <v>593</v>
      </c>
      <c r="G870" s="3" t="s">
        <v>456</v>
      </c>
      <c r="H870" s="2" t="s">
        <v>65</v>
      </c>
      <c r="I870" s="2" t="s">
        <v>2350</v>
      </c>
      <c r="J870" s="3" t="str">
        <f>HYPERLINK("https://www.boe.es/gazeta/dias/1819/02/16/pdfs/GMD-1819-20.pdf#page=9","Abrir facsímil")</f>
        <v>Abrir facsímil</v>
      </c>
      <c r="K870" s="3" t="s">
        <v>67</v>
      </c>
    </row>
    <row r="871" spans="1:11" ht="42" customHeight="1">
      <c r="A871" s="2" t="s">
        <v>2351</v>
      </c>
      <c r="B871" s="2" t="s">
        <v>2352</v>
      </c>
      <c r="C871" s="2" t="s">
        <v>63</v>
      </c>
      <c r="D871" s="2" t="s">
        <v>43</v>
      </c>
      <c r="E871" s="5">
        <v>-29542</v>
      </c>
      <c r="F871" s="3" t="s">
        <v>607</v>
      </c>
      <c r="G871" s="3" t="s">
        <v>20</v>
      </c>
      <c r="H871" s="2" t="s">
        <v>21</v>
      </c>
      <c r="I871" s="2" t="s">
        <v>2353</v>
      </c>
      <c r="J871" s="3" t="str">
        <f>HYPERLINK("https://www.boe.es/gazeta/dias/1819/02/11/pdfs/GMD-1819-18.pdf#page=10","Abrir facsímil")</f>
        <v>Abrir facsímil</v>
      </c>
      <c r="K871" s="3" t="s">
        <v>23</v>
      </c>
    </row>
    <row r="872" spans="1:11" ht="42" customHeight="1">
      <c r="A872" s="2" t="s">
        <v>2354</v>
      </c>
      <c r="B872" s="2" t="s">
        <v>2354</v>
      </c>
      <c r="C872" s="2" t="s">
        <v>63</v>
      </c>
      <c r="D872" s="2" t="s">
        <v>43</v>
      </c>
      <c r="E872" s="5">
        <v>-29579</v>
      </c>
      <c r="F872" s="3" t="s">
        <v>186</v>
      </c>
      <c r="G872" s="3" t="s">
        <v>102</v>
      </c>
      <c r="H872" s="2" t="s">
        <v>65</v>
      </c>
      <c r="I872" s="2" t="s">
        <v>2355</v>
      </c>
      <c r="J872" s="3" t="str">
        <f>HYPERLINK("https://www.boe.es/gazeta/dias/1819/01/05/pdfs/GMD-1819-2.pdf#page=3","Abrir facsímil")</f>
        <v>Abrir facsímil</v>
      </c>
      <c r="K872" s="3" t="s">
        <v>67</v>
      </c>
    </row>
    <row r="873" spans="1:11" ht="42" customHeight="1">
      <c r="A873" s="2" t="s">
        <v>2356</v>
      </c>
      <c r="B873" s="2" t="s">
        <v>2357</v>
      </c>
      <c r="C873" s="2" t="s">
        <v>80</v>
      </c>
      <c r="D873" s="2" t="s">
        <v>81</v>
      </c>
      <c r="E873" s="5">
        <v>-29491</v>
      </c>
      <c r="F873" s="3" t="s">
        <v>1604</v>
      </c>
      <c r="G873" s="3" t="s">
        <v>239</v>
      </c>
      <c r="H873" s="2" t="s">
        <v>65</v>
      </c>
      <c r="I873" s="2" t="s">
        <v>2358</v>
      </c>
      <c r="J873" s="3" t="str">
        <f>HYPERLINK("https://www.boe.es/gazeta/dias/1819/04/03/pdfs/GMD-1819-40.pdf#page=1","Abrir facsímil")</f>
        <v>Abrir facsímil</v>
      </c>
      <c r="K873" s="3" t="s">
        <v>67</v>
      </c>
    </row>
    <row r="874" spans="1:11" ht="42" customHeight="1">
      <c r="A874" s="2" t="s">
        <v>2359</v>
      </c>
      <c r="B874" s="2" t="s">
        <v>2359</v>
      </c>
      <c r="C874" s="2" t="s">
        <v>63</v>
      </c>
      <c r="D874" s="2" t="s">
        <v>43</v>
      </c>
      <c r="E874" s="5">
        <v>-29358</v>
      </c>
      <c r="F874" s="3" t="s">
        <v>170</v>
      </c>
      <c r="G874" s="3" t="s">
        <v>28</v>
      </c>
      <c r="H874" s="2" t="s">
        <v>65</v>
      </c>
      <c r="I874" s="2" t="s">
        <v>2360</v>
      </c>
      <c r="J874" s="3" t="str">
        <f>HYPERLINK("https://www.boe.es/gazeta/dias/1819/08/14/pdfs/GMD-1819-98.pdf#page=8","Abrir facsímil")</f>
        <v>Abrir facsímil</v>
      </c>
      <c r="K874" s="3" t="s">
        <v>67</v>
      </c>
    </row>
    <row r="875" spans="1:11" ht="42" customHeight="1">
      <c r="A875" s="2" t="s">
        <v>2361</v>
      </c>
      <c r="B875" s="2" t="s">
        <v>2362</v>
      </c>
      <c r="C875" s="2" t="s">
        <v>17</v>
      </c>
      <c r="D875" s="2" t="s">
        <v>18</v>
      </c>
      <c r="E875" s="5">
        <v>-29257</v>
      </c>
      <c r="F875" s="3" t="s">
        <v>73</v>
      </c>
      <c r="G875" s="3" t="s">
        <v>826</v>
      </c>
      <c r="H875" s="2" t="s">
        <v>65</v>
      </c>
      <c r="I875" s="2" t="s">
        <v>2363</v>
      </c>
      <c r="J875" s="3" t="str">
        <f>HYPERLINK("https://www.boe.es/gazeta/dias/1819/11/23/pdfs/GMD-1819-144.pdf#page=11","Abrir facsímil")</f>
        <v>Abrir facsímil</v>
      </c>
      <c r="K875" s="3" t="s">
        <v>67</v>
      </c>
    </row>
    <row r="876" spans="1:11" ht="42" customHeight="1">
      <c r="A876" s="2" t="s">
        <v>2364</v>
      </c>
      <c r="B876" s="2" t="s">
        <v>2364</v>
      </c>
      <c r="C876" s="2" t="s">
        <v>80</v>
      </c>
      <c r="D876" s="2" t="s">
        <v>81</v>
      </c>
      <c r="E876" s="5">
        <v>-29386</v>
      </c>
      <c r="F876" s="3" t="s">
        <v>568</v>
      </c>
      <c r="G876" s="3" t="s">
        <v>296</v>
      </c>
      <c r="H876" s="2" t="s">
        <v>65</v>
      </c>
      <c r="I876" s="2" t="s">
        <v>2365</v>
      </c>
      <c r="J876" s="3" t="str">
        <f>HYPERLINK("https://www.boe.es/gazeta/dias/1819/07/17/pdfs/GMD-1819-86.pdf#page=4","Abrir facsímil")</f>
        <v>Abrir facsímil</v>
      </c>
      <c r="K876" s="3" t="s">
        <v>67</v>
      </c>
    </row>
    <row r="877" spans="1:11" ht="42" customHeight="1">
      <c r="A877" s="2" t="s">
        <v>2366</v>
      </c>
      <c r="B877" s="2" t="s">
        <v>2367</v>
      </c>
      <c r="C877" s="2" t="s">
        <v>26</v>
      </c>
      <c r="D877" s="2" t="s">
        <v>18</v>
      </c>
      <c r="E877" s="5">
        <v>-29540</v>
      </c>
      <c r="F877" s="3" t="s">
        <v>154</v>
      </c>
      <c r="G877" s="3" t="s">
        <v>28</v>
      </c>
      <c r="H877" s="2" t="s">
        <v>21</v>
      </c>
      <c r="I877" s="2" t="s">
        <v>2368</v>
      </c>
      <c r="J877" s="3" t="str">
        <f>HYPERLINK("https://www.boe.es/gazeta/dias/1819/02/13/pdfs/GMD-1819-19.pdf#page=8","Abrir facsímil")</f>
        <v>Abrir facsímil</v>
      </c>
      <c r="K877" s="3" t="s">
        <v>23</v>
      </c>
    </row>
    <row r="878" spans="1:11" ht="42" customHeight="1">
      <c r="A878" s="2" t="s">
        <v>2369</v>
      </c>
      <c r="B878" s="2" t="s">
        <v>2369</v>
      </c>
      <c r="C878" s="2" t="s">
        <v>80</v>
      </c>
      <c r="D878" s="2" t="s">
        <v>81</v>
      </c>
      <c r="E878" s="5">
        <v>-29512</v>
      </c>
      <c r="F878" s="3" t="s">
        <v>741</v>
      </c>
      <c r="G878" s="3" t="s">
        <v>102</v>
      </c>
      <c r="H878" s="2" t="s">
        <v>65</v>
      </c>
      <c r="I878" s="2" t="s">
        <v>2370</v>
      </c>
      <c r="J878" s="3" t="str">
        <f>HYPERLINK("https://www.boe.es/gazeta/dias/1819/03/13/pdfs/GMD-1819-31.pdf#page=3","Abrir facsímil")</f>
        <v>Abrir facsímil</v>
      </c>
      <c r="K878" s="3" t="s">
        <v>67</v>
      </c>
    </row>
    <row r="879" spans="1:11" ht="42" customHeight="1">
      <c r="A879" s="2" t="s">
        <v>2371</v>
      </c>
      <c r="B879" s="2" t="s">
        <v>2372</v>
      </c>
      <c r="C879" s="2" t="s">
        <v>80</v>
      </c>
      <c r="D879" s="2" t="s">
        <v>81</v>
      </c>
      <c r="E879" s="5">
        <v>-29397</v>
      </c>
      <c r="F879" s="3" t="s">
        <v>599</v>
      </c>
      <c r="G879" s="3" t="s">
        <v>296</v>
      </c>
      <c r="H879" s="2" t="s">
        <v>65</v>
      </c>
      <c r="I879" s="2" t="s">
        <v>2373</v>
      </c>
      <c r="J879" s="3" t="str">
        <f>HYPERLINK("https://www.boe.es/gazeta/dias/1819/07/06/pdfs/GMD-1819-81.pdf#page=4","Abrir facsímil")</f>
        <v>Abrir facsímil</v>
      </c>
      <c r="K879" s="3" t="s">
        <v>67</v>
      </c>
    </row>
    <row r="880" spans="1:11" ht="42" customHeight="1">
      <c r="A880" s="2" t="s">
        <v>2374</v>
      </c>
      <c r="B880" s="2" t="s">
        <v>2375</v>
      </c>
      <c r="C880" s="2" t="s">
        <v>80</v>
      </c>
      <c r="D880" s="2" t="s">
        <v>81</v>
      </c>
      <c r="E880" s="5">
        <v>-29260</v>
      </c>
      <c r="F880" s="3" t="s">
        <v>93</v>
      </c>
      <c r="G880" s="3" t="s">
        <v>1275</v>
      </c>
      <c r="H880" s="2" t="s">
        <v>65</v>
      </c>
      <c r="I880" s="2" t="s">
        <v>2376</v>
      </c>
      <c r="J880" s="3" t="str">
        <f>HYPERLINK("https://www.boe.es/gazeta/dias/1819/11/20/pdfs/GMD-1819-143.pdf#page=10","Abrir facsímil")</f>
        <v>Abrir facsímil</v>
      </c>
      <c r="K880" s="3" t="s">
        <v>67</v>
      </c>
    </row>
    <row r="881" spans="1:11" ht="42" customHeight="1">
      <c r="A881" s="2" t="s">
        <v>2377</v>
      </c>
      <c r="B881" s="2" t="s">
        <v>2377</v>
      </c>
      <c r="C881" s="2" t="s">
        <v>17</v>
      </c>
      <c r="D881" s="2" t="s">
        <v>18</v>
      </c>
      <c r="E881" s="5">
        <v>-29383</v>
      </c>
      <c r="F881" s="3" t="s">
        <v>631</v>
      </c>
      <c r="G881" s="3" t="s">
        <v>38</v>
      </c>
      <c r="H881" s="2" t="s">
        <v>65</v>
      </c>
      <c r="I881" s="2" t="s">
        <v>2378</v>
      </c>
      <c r="J881" s="3" t="str">
        <f>HYPERLINK("https://www.boe.es/gazeta/dias/1819/07/20/pdfs/GMD-1819-87.pdf#page=5","Abrir facsímil")</f>
        <v>Abrir facsímil</v>
      </c>
      <c r="K881" s="3" t="s">
        <v>67</v>
      </c>
    </row>
    <row r="882" spans="1:11" ht="42" customHeight="1">
      <c r="A882" s="2" t="s">
        <v>2377</v>
      </c>
      <c r="B882" s="2" t="s">
        <v>2377</v>
      </c>
      <c r="C882" s="2" t="s">
        <v>246</v>
      </c>
      <c r="D882" s="2" t="s">
        <v>18</v>
      </c>
      <c r="E882" s="5">
        <v>-29311</v>
      </c>
      <c r="F882" s="3" t="s">
        <v>678</v>
      </c>
      <c r="G882" s="3" t="s">
        <v>296</v>
      </c>
      <c r="H882" s="2" t="s">
        <v>65</v>
      </c>
      <c r="I882" s="2" t="s">
        <v>2379</v>
      </c>
      <c r="J882" s="3" t="str">
        <f>HYPERLINK("https://www.boe.es/gazeta/dias/1819/09/30/pdfs/GMD-1819-120.pdf#page=4","Abrir facsímil")</f>
        <v>Abrir facsímil</v>
      </c>
      <c r="K882" s="3" t="s">
        <v>67</v>
      </c>
    </row>
    <row r="883" spans="1:11" ht="42" customHeight="1">
      <c r="A883" s="2" t="s">
        <v>2380</v>
      </c>
      <c r="B883" s="2" t="s">
        <v>2380</v>
      </c>
      <c r="C883" s="2" t="s">
        <v>63</v>
      </c>
      <c r="D883" s="2" t="s">
        <v>43</v>
      </c>
      <c r="E883" s="5">
        <v>-29481</v>
      </c>
      <c r="F883" s="3" t="s">
        <v>1504</v>
      </c>
      <c r="G883" s="3" t="s">
        <v>259</v>
      </c>
      <c r="H883" s="2" t="s">
        <v>65</v>
      </c>
      <c r="I883" s="2" t="s">
        <v>2381</v>
      </c>
      <c r="J883" s="3" t="str">
        <f>HYPERLINK("https://www.boe.es/gazeta/dias/1819/04/13/pdfs/GMD-1819-44.pdf#page=2","Abrir facsímil")</f>
        <v>Abrir facsímil</v>
      </c>
      <c r="K883" s="3" t="s">
        <v>67</v>
      </c>
    </row>
    <row r="884" spans="1:11" ht="42" customHeight="1">
      <c r="A884" s="2" t="s">
        <v>2382</v>
      </c>
      <c r="B884" s="2" t="s">
        <v>2383</v>
      </c>
      <c r="C884" s="2" t="s">
        <v>80</v>
      </c>
      <c r="D884" s="2" t="s">
        <v>81</v>
      </c>
      <c r="E884" s="5">
        <v>-29369</v>
      </c>
      <c r="F884" s="3" t="s">
        <v>231</v>
      </c>
      <c r="G884" s="3" t="s">
        <v>232</v>
      </c>
      <c r="H884" s="2" t="s">
        <v>65</v>
      </c>
      <c r="I884" s="2" t="s">
        <v>2384</v>
      </c>
      <c r="J884" s="3" t="str">
        <f>HYPERLINK("https://www.boe.es/gazeta/dias/1819/08/03/pdfs/GMD-1819-93.pdf#page=5","Abrir facsímil")</f>
        <v>Abrir facsímil</v>
      </c>
      <c r="K884" s="3" t="s">
        <v>67</v>
      </c>
    </row>
    <row r="885" spans="1:11" ht="42" customHeight="1">
      <c r="A885" s="2" t="s">
        <v>2385</v>
      </c>
      <c r="B885" s="2" t="s">
        <v>2385</v>
      </c>
      <c r="C885" s="2" t="s">
        <v>59</v>
      </c>
      <c r="D885" s="2" t="s">
        <v>18</v>
      </c>
      <c r="E885" s="5">
        <v>-29430</v>
      </c>
      <c r="F885" s="3" t="s">
        <v>178</v>
      </c>
      <c r="G885" s="3" t="s">
        <v>28</v>
      </c>
      <c r="H885" s="2" t="s">
        <v>65</v>
      </c>
      <c r="I885" s="2" t="s">
        <v>2386</v>
      </c>
      <c r="J885" s="3" t="str">
        <f>HYPERLINK("https://www.boe.es/gazeta/dias/1819/06/03/pdfs/GMD-1819-66.pdf#page=8","Abrir facsímil")</f>
        <v>Abrir facsímil</v>
      </c>
      <c r="K885" s="3" t="s">
        <v>67</v>
      </c>
    </row>
    <row r="886" spans="1:11" ht="42" customHeight="1">
      <c r="A886" s="2" t="s">
        <v>2387</v>
      </c>
      <c r="B886" s="2" t="s">
        <v>2388</v>
      </c>
      <c r="C886" s="2" t="s">
        <v>136</v>
      </c>
      <c r="D886" s="2" t="s">
        <v>18</v>
      </c>
      <c r="E886" s="5">
        <v>-29225</v>
      </c>
      <c r="F886" s="3" t="s">
        <v>472</v>
      </c>
      <c r="G886" s="3" t="s">
        <v>38</v>
      </c>
      <c r="H886" s="2" t="s">
        <v>65</v>
      </c>
      <c r="I886" s="2" t="s">
        <v>2389</v>
      </c>
      <c r="J886" s="3" t="str">
        <f>HYPERLINK("https://www.boe.es/gazeta/dias/1819/12/25/pdfs/GMD-1819-158.pdf#page=5","Abrir facsímil")</f>
        <v>Abrir facsímil</v>
      </c>
      <c r="K886" s="3" t="s">
        <v>67</v>
      </c>
    </row>
    <row r="887" spans="1:11" ht="42" customHeight="1">
      <c r="A887" s="2" t="s">
        <v>2390</v>
      </c>
      <c r="B887" s="2" t="s">
        <v>2391</v>
      </c>
      <c r="C887" s="2" t="s">
        <v>136</v>
      </c>
      <c r="D887" s="2" t="s">
        <v>18</v>
      </c>
      <c r="E887" s="5">
        <v>-29565</v>
      </c>
      <c r="F887" s="3" t="s">
        <v>293</v>
      </c>
      <c r="G887" s="3" t="s">
        <v>239</v>
      </c>
      <c r="H887" s="2" t="s">
        <v>65</v>
      </c>
      <c r="I887" s="2" t="s">
        <v>2392</v>
      </c>
      <c r="J887" s="3" t="str">
        <f>HYPERLINK("https://www.boe.es/gazeta/dias/1819/01/19/pdfs/GMD-1819-8.pdf#page=1","Abrir facsímil")</f>
        <v>Abrir facsímil</v>
      </c>
      <c r="K887" s="3" t="s">
        <v>67</v>
      </c>
    </row>
    <row r="888" spans="1:11" ht="42" customHeight="1">
      <c r="A888" s="2" t="s">
        <v>2393</v>
      </c>
      <c r="B888" s="2" t="s">
        <v>2393</v>
      </c>
      <c r="C888" s="2" t="s">
        <v>80</v>
      </c>
      <c r="D888" s="2" t="s">
        <v>81</v>
      </c>
      <c r="E888" s="5">
        <v>-29428</v>
      </c>
      <c r="F888" s="3" t="s">
        <v>730</v>
      </c>
      <c r="G888" s="3" t="s">
        <v>38</v>
      </c>
      <c r="H888" s="2" t="s">
        <v>65</v>
      </c>
      <c r="I888" s="2" t="s">
        <v>2394</v>
      </c>
      <c r="J888" s="3" t="str">
        <f>HYPERLINK("https://www.boe.es/gazeta/dias/1819/06/05/pdfs/GMD-1819-67.pdf#page=5","Abrir facsímil")</f>
        <v>Abrir facsímil</v>
      </c>
      <c r="K888" s="3" t="s">
        <v>67</v>
      </c>
    </row>
    <row r="889" spans="1:11" ht="42" customHeight="1">
      <c r="A889" s="2" t="s">
        <v>2395</v>
      </c>
      <c r="B889" s="2" t="s">
        <v>2395</v>
      </c>
      <c r="C889" s="2" t="s">
        <v>80</v>
      </c>
      <c r="D889" s="2" t="s">
        <v>81</v>
      </c>
      <c r="E889" s="5">
        <v>-29418</v>
      </c>
      <c r="F889" s="3" t="s">
        <v>447</v>
      </c>
      <c r="G889" s="3" t="s">
        <v>33</v>
      </c>
      <c r="H889" s="2" t="s">
        <v>65</v>
      </c>
      <c r="I889" s="2" t="s">
        <v>2396</v>
      </c>
      <c r="J889" s="3" t="str">
        <f>HYPERLINK("https://www.boe.es/gazeta/dias/1819/06/15/pdfs/GMD-1819-72.pdf#page=6","Abrir facsímil")</f>
        <v>Abrir facsímil</v>
      </c>
      <c r="K889" s="3" t="s">
        <v>67</v>
      </c>
    </row>
    <row r="890" spans="1:11" ht="42" customHeight="1">
      <c r="A890" s="2" t="s">
        <v>2397</v>
      </c>
      <c r="B890" s="2" t="s">
        <v>2398</v>
      </c>
      <c r="C890" s="2" t="s">
        <v>26</v>
      </c>
      <c r="D890" s="2" t="s">
        <v>454</v>
      </c>
      <c r="E890" s="5">
        <v>-29287</v>
      </c>
      <c r="F890" s="3" t="s">
        <v>455</v>
      </c>
      <c r="G890" s="3" t="s">
        <v>20</v>
      </c>
      <c r="H890" s="2" t="s">
        <v>65</v>
      </c>
      <c r="I890" s="2" t="s">
        <v>2399</v>
      </c>
      <c r="J890" s="3" t="str">
        <f>HYPERLINK("https://www.boe.es/gazeta/dias/1819/10/24/pdfs/GMD-1819-131E.pdf#page=10","Abrir facsímil")</f>
        <v>Abrir facsímil</v>
      </c>
      <c r="K890" s="3" t="s">
        <v>67</v>
      </c>
    </row>
    <row r="891" spans="1:11" ht="42" customHeight="1">
      <c r="A891" s="2" t="s">
        <v>2400</v>
      </c>
      <c r="B891" s="2" t="s">
        <v>2400</v>
      </c>
      <c r="C891" s="2" t="s">
        <v>80</v>
      </c>
      <c r="D891" s="2" t="s">
        <v>81</v>
      </c>
      <c r="E891" s="5">
        <v>-29502</v>
      </c>
      <c r="F891" s="3" t="s">
        <v>86</v>
      </c>
      <c r="G891" s="3" t="s">
        <v>102</v>
      </c>
      <c r="H891" s="2" t="s">
        <v>65</v>
      </c>
      <c r="I891" s="2" t="s">
        <v>2401</v>
      </c>
      <c r="J891" s="3" t="str">
        <f>HYPERLINK("https://www.boe.es/gazeta/dias/1819/03/23/pdfs/GMD-1819-35.pdf#page=3","Abrir facsímil")</f>
        <v>Abrir facsímil</v>
      </c>
      <c r="K891" s="3" t="s">
        <v>67</v>
      </c>
    </row>
    <row r="892" spans="1:11" ht="42" customHeight="1">
      <c r="A892" s="2" t="s">
        <v>2402</v>
      </c>
      <c r="B892" s="2" t="s">
        <v>2403</v>
      </c>
      <c r="C892" s="2" t="s">
        <v>26</v>
      </c>
      <c r="D892" s="2" t="s">
        <v>18</v>
      </c>
      <c r="E892" s="5">
        <v>-29430</v>
      </c>
      <c r="F892" s="3" t="s">
        <v>178</v>
      </c>
      <c r="G892" s="3" t="s">
        <v>28</v>
      </c>
      <c r="H892" s="2" t="s">
        <v>65</v>
      </c>
      <c r="I892" s="2" t="s">
        <v>2404</v>
      </c>
      <c r="J892" s="3" t="str">
        <f>HYPERLINK("https://www.boe.es/gazeta/dias/1819/06/03/pdfs/GMD-1819-66.pdf#page=8","Abrir facsímil")</f>
        <v>Abrir facsímil</v>
      </c>
      <c r="K892" s="3" t="s">
        <v>67</v>
      </c>
    </row>
    <row r="893" spans="1:11" ht="42" customHeight="1">
      <c r="A893" s="2" t="s">
        <v>2405</v>
      </c>
      <c r="B893" s="2" t="s">
        <v>2406</v>
      </c>
      <c r="C893" s="2" t="s">
        <v>80</v>
      </c>
      <c r="D893" s="2" t="s">
        <v>81</v>
      </c>
      <c r="E893" s="5">
        <v>-29297</v>
      </c>
      <c r="F893" s="3" t="s">
        <v>82</v>
      </c>
      <c r="G893" s="3" t="s">
        <v>33</v>
      </c>
      <c r="H893" s="2" t="s">
        <v>65</v>
      </c>
      <c r="I893" s="2" t="s">
        <v>2407</v>
      </c>
      <c r="J893" s="3" t="str">
        <f>HYPERLINK("https://www.boe.es/gazeta/dias/1819/10/14/pdfs/GMD-1819-126.pdf#page=6","Abrir facsímil")</f>
        <v>Abrir facsímil</v>
      </c>
      <c r="K893" s="3" t="s">
        <v>67</v>
      </c>
    </row>
    <row r="894" spans="1:11" ht="42" customHeight="1">
      <c r="A894" s="2" t="s">
        <v>2408</v>
      </c>
      <c r="B894" s="2" t="s">
        <v>2409</v>
      </c>
      <c r="C894" s="2" t="s">
        <v>136</v>
      </c>
      <c r="D894" s="2" t="s">
        <v>18</v>
      </c>
      <c r="E894" s="5">
        <v>-29243</v>
      </c>
      <c r="F894" s="3" t="s">
        <v>2099</v>
      </c>
      <c r="G894" s="3" t="s">
        <v>28</v>
      </c>
      <c r="H894" s="2" t="s">
        <v>65</v>
      </c>
      <c r="I894" s="2" t="s">
        <v>2410</v>
      </c>
      <c r="J894" s="3" t="str">
        <f>HYPERLINK("https://www.boe.es/gazeta/dias/1819/12/07/pdfs/GMD-1819-150.pdf#page=8","Abrir facsímil")</f>
        <v>Abrir facsímil</v>
      </c>
      <c r="K894" s="3" t="s">
        <v>67</v>
      </c>
    </row>
    <row r="895" spans="1:11" ht="42" customHeight="1">
      <c r="A895" s="2" t="s">
        <v>2411</v>
      </c>
      <c r="B895" s="2" t="s">
        <v>2412</v>
      </c>
      <c r="C895" s="2" t="s">
        <v>59</v>
      </c>
      <c r="D895" s="2" t="s">
        <v>18</v>
      </c>
      <c r="E895" s="5">
        <v>-29376</v>
      </c>
      <c r="F895" s="3" t="s">
        <v>332</v>
      </c>
      <c r="G895" s="3" t="s">
        <v>33</v>
      </c>
      <c r="H895" s="2" t="s">
        <v>65</v>
      </c>
      <c r="I895" s="2" t="s">
        <v>2413</v>
      </c>
      <c r="J895" s="3" t="str">
        <f>HYPERLINK("https://www.boe.es/gazeta/dias/1819/07/27/pdfs/GMD-1819-90.pdf#page=6","Abrir facsímil")</f>
        <v>Abrir facsímil</v>
      </c>
      <c r="K895" s="3" t="s">
        <v>67</v>
      </c>
    </row>
    <row r="896" spans="1:11" ht="42" customHeight="1">
      <c r="A896" s="2" t="s">
        <v>2414</v>
      </c>
      <c r="B896" s="2" t="s">
        <v>2414</v>
      </c>
      <c r="C896" s="2" t="s">
        <v>59</v>
      </c>
      <c r="D896" s="2" t="s">
        <v>18</v>
      </c>
      <c r="E896" s="5">
        <v>-29514</v>
      </c>
      <c r="F896" s="3" t="s">
        <v>595</v>
      </c>
      <c r="G896" s="3" t="s">
        <v>296</v>
      </c>
      <c r="H896" s="2" t="s">
        <v>65</v>
      </c>
      <c r="I896" s="2" t="s">
        <v>2415</v>
      </c>
      <c r="J896" s="3" t="str">
        <f>HYPERLINK("https://www.boe.es/gazeta/dias/1819/03/11/pdfs/GMD-1819-30.pdf#page=4","Abrir facsímil")</f>
        <v>Abrir facsímil</v>
      </c>
      <c r="K896" s="3" t="s">
        <v>67</v>
      </c>
    </row>
    <row r="897" spans="1:11" ht="42" customHeight="1">
      <c r="A897" s="2" t="s">
        <v>2416</v>
      </c>
      <c r="B897" s="2" t="s">
        <v>2417</v>
      </c>
      <c r="C897" s="2" t="s">
        <v>80</v>
      </c>
      <c r="D897" s="2" t="s">
        <v>454</v>
      </c>
      <c r="E897" s="5">
        <v>-29287</v>
      </c>
      <c r="F897" s="3" t="s">
        <v>455</v>
      </c>
      <c r="G897" s="3" t="s">
        <v>481</v>
      </c>
      <c r="H897" s="2" t="s">
        <v>65</v>
      </c>
      <c r="I897" s="2" t="s">
        <v>2418</v>
      </c>
      <c r="J897" s="3" t="str">
        <f>HYPERLINK("https://www.boe.es/gazeta/dias/1819/10/24/pdfs/GMD-1819-131E.pdf#page=8","Abrir facsímil")</f>
        <v>Abrir facsímil</v>
      </c>
      <c r="K897" s="3" t="s">
        <v>67</v>
      </c>
    </row>
    <row r="898" spans="1:11" ht="42" customHeight="1">
      <c r="A898" s="2" t="s">
        <v>2419</v>
      </c>
      <c r="B898" s="2" t="s">
        <v>2420</v>
      </c>
      <c r="C898" s="2" t="s">
        <v>80</v>
      </c>
      <c r="D898" s="2" t="s">
        <v>81</v>
      </c>
      <c r="E898" s="5">
        <v>-29397</v>
      </c>
      <c r="F898" s="3" t="s">
        <v>599</v>
      </c>
      <c r="G898" s="3" t="s">
        <v>38</v>
      </c>
      <c r="H898" s="2" t="s">
        <v>65</v>
      </c>
      <c r="I898" s="2" t="s">
        <v>2421</v>
      </c>
      <c r="J898" s="3" t="str">
        <f>HYPERLINK("https://www.boe.es/gazeta/dias/1819/07/06/pdfs/GMD-1819-81.pdf#page=5","Abrir facsímil")</f>
        <v>Abrir facsímil</v>
      </c>
      <c r="K898" s="3" t="s">
        <v>67</v>
      </c>
    </row>
    <row r="899" spans="1:11" ht="42" customHeight="1">
      <c r="A899" s="2" t="s">
        <v>2422</v>
      </c>
      <c r="B899" s="2" t="s">
        <v>2423</v>
      </c>
      <c r="C899" s="2" t="s">
        <v>63</v>
      </c>
      <c r="D899" s="2" t="s">
        <v>43</v>
      </c>
      <c r="E899" s="5">
        <v>-29451</v>
      </c>
      <c r="F899" s="3" t="s">
        <v>208</v>
      </c>
      <c r="G899" s="3" t="s">
        <v>55</v>
      </c>
      <c r="H899" s="2" t="s">
        <v>65</v>
      </c>
      <c r="I899" s="2" t="s">
        <v>2424</v>
      </c>
      <c r="J899" s="3" t="str">
        <f>HYPERLINK("https://www.boe.es/gazeta/dias/1819/05/13/pdfs/GMD-1819-57.pdf#page=7","Abrir facsímil")</f>
        <v>Abrir facsímil</v>
      </c>
      <c r="K899" s="3" t="s">
        <v>67</v>
      </c>
    </row>
    <row r="900" spans="1:11" ht="42" customHeight="1">
      <c r="A900" s="2" t="s">
        <v>2422</v>
      </c>
      <c r="B900" s="2" t="s">
        <v>2423</v>
      </c>
      <c r="C900" s="2" t="s">
        <v>136</v>
      </c>
      <c r="D900" s="2" t="s">
        <v>18</v>
      </c>
      <c r="E900" s="5">
        <v>-29388</v>
      </c>
      <c r="F900" s="3" t="s">
        <v>879</v>
      </c>
      <c r="G900" s="3" t="s">
        <v>28</v>
      </c>
      <c r="H900" s="2" t="s">
        <v>65</v>
      </c>
      <c r="I900" s="2" t="s">
        <v>2425</v>
      </c>
      <c r="J900" s="3" t="str">
        <f>HYPERLINK("https://www.boe.es/gazeta/dias/1819/07/15/pdfs/GMD-1819-85.pdf#page=8","Abrir facsímil")</f>
        <v>Abrir facsímil</v>
      </c>
      <c r="K900" s="3" t="s">
        <v>67</v>
      </c>
    </row>
    <row r="901" spans="1:11" ht="42" customHeight="1">
      <c r="A901" s="2" t="s">
        <v>2426</v>
      </c>
      <c r="B901" s="2" t="s">
        <v>2427</v>
      </c>
      <c r="C901" s="2" t="s">
        <v>80</v>
      </c>
      <c r="D901" s="2" t="s">
        <v>81</v>
      </c>
      <c r="E901" s="5">
        <v>-29344</v>
      </c>
      <c r="F901" s="3" t="s">
        <v>1865</v>
      </c>
      <c r="G901" s="3" t="s">
        <v>55</v>
      </c>
      <c r="H901" s="2" t="s">
        <v>65</v>
      </c>
      <c r="I901" s="2" t="s">
        <v>2428</v>
      </c>
      <c r="J901" s="3" t="str">
        <f>HYPERLINK("https://www.boe.es/gazeta/dias/1819/08/28/pdfs/GMD-1819-104.pdf#page=7","Abrir facsímil")</f>
        <v>Abrir facsímil</v>
      </c>
      <c r="K901" s="3" t="s">
        <v>67</v>
      </c>
    </row>
    <row r="902" spans="1:11" ht="42" customHeight="1">
      <c r="A902" s="2" t="s">
        <v>2429</v>
      </c>
      <c r="B902" s="2" t="s">
        <v>2430</v>
      </c>
      <c r="C902" s="2" t="s">
        <v>42</v>
      </c>
      <c r="D902" s="2" t="s">
        <v>43</v>
      </c>
      <c r="E902" s="5">
        <v>-29276</v>
      </c>
      <c r="F902" s="3" t="s">
        <v>54</v>
      </c>
      <c r="G902" s="3" t="s">
        <v>284</v>
      </c>
      <c r="H902" s="2" t="s">
        <v>65</v>
      </c>
      <c r="I902" s="2" t="s">
        <v>2431</v>
      </c>
      <c r="J902" s="3" t="str">
        <f>HYPERLINK("https://www.boe.es/gazeta/dias/1819/11/04/pdfs/GMD-1819-136.pdf#page=6","Abrir facsímil")</f>
        <v>Abrir facsímil</v>
      </c>
      <c r="K902" s="3" t="s">
        <v>67</v>
      </c>
    </row>
    <row r="903" spans="1:11" ht="42" customHeight="1">
      <c r="A903" s="2" t="s">
        <v>2432</v>
      </c>
      <c r="B903" s="2" t="s">
        <v>2433</v>
      </c>
      <c r="C903" s="2" t="s">
        <v>17</v>
      </c>
      <c r="D903" s="2" t="s">
        <v>18</v>
      </c>
      <c r="E903" s="5">
        <v>-29271</v>
      </c>
      <c r="F903" s="3" t="s">
        <v>32</v>
      </c>
      <c r="G903" s="3" t="s">
        <v>33</v>
      </c>
      <c r="H903" s="2" t="s">
        <v>21</v>
      </c>
      <c r="I903" s="2" t="s">
        <v>2434</v>
      </c>
      <c r="J903" s="3" t="str">
        <f>HYPERLINK("https://www.boe.es/gazeta/dias/1819/11/09/pdfs/GMD-1819-138.pdf#page=6","Abrir facsímil")</f>
        <v>Abrir facsímil</v>
      </c>
      <c r="K903" s="3" t="s">
        <v>23</v>
      </c>
    </row>
    <row r="904" spans="1:11" ht="42" customHeight="1">
      <c r="A904" s="2" t="s">
        <v>2435</v>
      </c>
      <c r="B904" s="2" t="s">
        <v>2435</v>
      </c>
      <c r="C904" s="2" t="s">
        <v>80</v>
      </c>
      <c r="D904" s="2" t="s">
        <v>81</v>
      </c>
      <c r="E904" s="5">
        <v>-29495</v>
      </c>
      <c r="F904" s="3" t="s">
        <v>992</v>
      </c>
      <c r="G904" s="3" t="s">
        <v>38</v>
      </c>
      <c r="H904" s="2" t="s">
        <v>65</v>
      </c>
      <c r="I904" s="2" t="s">
        <v>2436</v>
      </c>
      <c r="J904" s="3" t="str">
        <f>HYPERLINK("https://www.boe.es/gazeta/dias/1819/03/30/pdfs/GMD-1819-38.pdf#page=5","Abrir facsímil")</f>
        <v>Abrir facsímil</v>
      </c>
      <c r="K904" s="3" t="s">
        <v>67</v>
      </c>
    </row>
    <row r="905" spans="1:11" ht="42" customHeight="1">
      <c r="A905" s="2" t="s">
        <v>2435</v>
      </c>
      <c r="B905" s="2" t="s">
        <v>2435</v>
      </c>
      <c r="C905" s="2" t="s">
        <v>246</v>
      </c>
      <c r="D905" s="2" t="s">
        <v>18</v>
      </c>
      <c r="E905" s="5">
        <v>-29493</v>
      </c>
      <c r="F905" s="3" t="s">
        <v>404</v>
      </c>
      <c r="G905" s="3" t="s">
        <v>259</v>
      </c>
      <c r="H905" s="2" t="s">
        <v>65</v>
      </c>
      <c r="I905" s="2" t="s">
        <v>2437</v>
      </c>
      <c r="J905" s="3" t="str">
        <f>HYPERLINK("https://www.boe.es/gazeta/dias/1819/04/01/pdfs/GMD-1819-39.pdf#page=2","Abrir facsímil")</f>
        <v>Abrir facsímil</v>
      </c>
      <c r="K905" s="3" t="s">
        <v>67</v>
      </c>
    </row>
    <row r="906" spans="1:11" ht="42" customHeight="1">
      <c r="A906" s="2" t="s">
        <v>2435</v>
      </c>
      <c r="B906" s="2" t="s">
        <v>2435</v>
      </c>
      <c r="C906" s="2" t="s">
        <v>246</v>
      </c>
      <c r="D906" s="2" t="s">
        <v>18</v>
      </c>
      <c r="E906" s="5">
        <v>-29477</v>
      </c>
      <c r="F906" s="3" t="s">
        <v>789</v>
      </c>
      <c r="G906" s="3" t="s">
        <v>239</v>
      </c>
      <c r="H906" s="2" t="s">
        <v>65</v>
      </c>
      <c r="I906" s="2" t="s">
        <v>2438</v>
      </c>
      <c r="J906" s="3" t="str">
        <f>HYPERLINK("https://www.boe.es/gazeta/dias/1819/04/17/pdfs/GMD-1819-46.pdf#page=1","Abrir facsímil")</f>
        <v>Abrir facsímil</v>
      </c>
      <c r="K906" s="3" t="s">
        <v>67</v>
      </c>
    </row>
    <row r="907" spans="1:11" ht="42" customHeight="1">
      <c r="A907" s="2" t="s">
        <v>2435</v>
      </c>
      <c r="B907" s="2" t="s">
        <v>2435</v>
      </c>
      <c r="C907" s="2" t="s">
        <v>63</v>
      </c>
      <c r="D907" s="2" t="s">
        <v>43</v>
      </c>
      <c r="E907" s="5">
        <v>-29458</v>
      </c>
      <c r="F907" s="3" t="s">
        <v>766</v>
      </c>
      <c r="G907" s="3" t="s">
        <v>239</v>
      </c>
      <c r="H907" s="2" t="s">
        <v>65</v>
      </c>
      <c r="I907" s="2" t="s">
        <v>2439</v>
      </c>
      <c r="J907" s="3" t="str">
        <f>HYPERLINK("https://www.boe.es/gazeta/dias/1819/05/06/pdfs/GMD-1819-54.pdf#page=1","Abrir facsímil")</f>
        <v>Abrir facsímil</v>
      </c>
      <c r="K907" s="3" t="s">
        <v>67</v>
      </c>
    </row>
    <row r="908" spans="1:11" ht="42" customHeight="1">
      <c r="A908" s="2" t="s">
        <v>2440</v>
      </c>
      <c r="B908" s="2" t="s">
        <v>2440</v>
      </c>
      <c r="C908" s="2" t="s">
        <v>63</v>
      </c>
      <c r="D908" s="2" t="s">
        <v>43</v>
      </c>
      <c r="E908" s="5">
        <v>-29402</v>
      </c>
      <c r="F908" s="3" t="s">
        <v>1091</v>
      </c>
      <c r="G908" s="3" t="s">
        <v>259</v>
      </c>
      <c r="H908" s="2" t="s">
        <v>65</v>
      </c>
      <c r="I908" s="2" t="s">
        <v>2441</v>
      </c>
      <c r="J908" s="3" t="str">
        <f>HYPERLINK("https://www.boe.es/gazeta/dias/1819/07/01/pdfs/GMD-1819-79.pdf#page=2","Abrir facsímil")</f>
        <v>Abrir facsímil</v>
      </c>
      <c r="K908" s="3" t="s">
        <v>67</v>
      </c>
    </row>
    <row r="909" spans="1:11" ht="42" customHeight="1">
      <c r="A909" s="2" t="s">
        <v>2442</v>
      </c>
      <c r="B909" s="2" t="s">
        <v>2442</v>
      </c>
      <c r="C909" s="2" t="s">
        <v>17</v>
      </c>
      <c r="D909" s="2" t="s">
        <v>18</v>
      </c>
      <c r="E909" s="5">
        <v>-29234</v>
      </c>
      <c r="F909" s="3" t="s">
        <v>343</v>
      </c>
      <c r="G909" s="3" t="s">
        <v>102</v>
      </c>
      <c r="H909" s="2" t="s">
        <v>65</v>
      </c>
      <c r="I909" s="2" t="s">
        <v>2443</v>
      </c>
      <c r="J909" s="3" t="str">
        <f>HYPERLINK("https://www.boe.es/gazeta/dias/1819/12/16/pdfs/GMD-1819-154.pdf#page=3","Abrir facsímil")</f>
        <v>Abrir facsímil</v>
      </c>
      <c r="K909" s="3" t="s">
        <v>67</v>
      </c>
    </row>
    <row r="910" spans="1:11" ht="42" customHeight="1">
      <c r="A910" s="2" t="s">
        <v>2435</v>
      </c>
      <c r="B910" s="2" t="s">
        <v>2435</v>
      </c>
      <c r="C910" s="2" t="s">
        <v>246</v>
      </c>
      <c r="D910" s="2" t="s">
        <v>18</v>
      </c>
      <c r="E910" s="5">
        <v>-29227</v>
      </c>
      <c r="F910" s="3" t="s">
        <v>98</v>
      </c>
      <c r="G910" s="3" t="s">
        <v>259</v>
      </c>
      <c r="H910" s="2" t="s">
        <v>65</v>
      </c>
      <c r="I910" s="2" t="s">
        <v>2444</v>
      </c>
      <c r="J910" s="3" t="str">
        <f>HYPERLINK("https://www.boe.es/gazeta/dias/1819/12/23/pdfs/GMD-1819-157.pdf#page=2","Abrir facsímil")</f>
        <v>Abrir facsímil</v>
      </c>
      <c r="K910" s="3" t="s">
        <v>67</v>
      </c>
    </row>
    <row r="911" spans="1:11" ht="42" customHeight="1">
      <c r="A911" s="2" t="s">
        <v>2445</v>
      </c>
      <c r="B911" s="2" t="s">
        <v>2445</v>
      </c>
      <c r="C911" s="2" t="s">
        <v>215</v>
      </c>
      <c r="D911" s="2" t="s">
        <v>18</v>
      </c>
      <c r="E911" s="5">
        <v>-29323</v>
      </c>
      <c r="F911" s="3" t="s">
        <v>270</v>
      </c>
      <c r="G911" s="3" t="s">
        <v>239</v>
      </c>
      <c r="H911" s="2" t="s">
        <v>65</v>
      </c>
      <c r="I911" s="2" t="s">
        <v>2446</v>
      </c>
      <c r="J911" s="3" t="str">
        <f>HYPERLINK("https://www.boe.es/gazeta/dias/1819/09/18/pdfs/GMD-1819-115.pdf#page=1","Abrir facsímil")</f>
        <v>Abrir facsímil</v>
      </c>
      <c r="K911" s="3" t="s">
        <v>67</v>
      </c>
    </row>
    <row r="912" spans="1:11" ht="42" customHeight="1">
      <c r="A912" s="2" t="s">
        <v>2447</v>
      </c>
      <c r="B912" s="2" t="s">
        <v>2447</v>
      </c>
      <c r="C912" s="2" t="s">
        <v>26</v>
      </c>
      <c r="D912" s="2" t="s">
        <v>18</v>
      </c>
      <c r="E912" s="5">
        <v>-29558</v>
      </c>
      <c r="F912" s="3" t="s">
        <v>1463</v>
      </c>
      <c r="G912" s="3" t="s">
        <v>239</v>
      </c>
      <c r="H912" s="2" t="s">
        <v>65</v>
      </c>
      <c r="I912" s="2" t="s">
        <v>2448</v>
      </c>
      <c r="J912" s="3" t="str">
        <f>HYPERLINK("https://www.boe.es/gazeta/dias/1819/01/26/pdfs/GMD-1819-11.pdf#page=1","Abrir facsímil")</f>
        <v>Abrir facsímil</v>
      </c>
      <c r="K912" s="3" t="s">
        <v>67</v>
      </c>
    </row>
    <row r="913" spans="1:11" ht="42" customHeight="1">
      <c r="A913" s="2" t="s">
        <v>2449</v>
      </c>
      <c r="B913" s="2" t="s">
        <v>2450</v>
      </c>
      <c r="C913" s="2" t="s">
        <v>59</v>
      </c>
      <c r="D913" s="2" t="s">
        <v>18</v>
      </c>
      <c r="E913" s="5">
        <v>-29295</v>
      </c>
      <c r="F913" s="3" t="s">
        <v>390</v>
      </c>
      <c r="G913" s="3" t="s">
        <v>28</v>
      </c>
      <c r="H913" s="2" t="s">
        <v>65</v>
      </c>
      <c r="I913" s="2" t="s">
        <v>2451</v>
      </c>
      <c r="J913" s="3" t="str">
        <f>HYPERLINK("https://www.boe.es/gazeta/dias/1819/10/16/pdfs/GMD-1819-127.pdf#page=8","Abrir facsímil")</f>
        <v>Abrir facsímil</v>
      </c>
      <c r="K913" s="3" t="s">
        <v>67</v>
      </c>
    </row>
    <row r="914" spans="1:11" ht="42" customHeight="1">
      <c r="A914" s="2" t="s">
        <v>2452</v>
      </c>
      <c r="B914" s="2" t="s">
        <v>2453</v>
      </c>
      <c r="C914" s="2" t="s">
        <v>80</v>
      </c>
      <c r="D914" s="2" t="s">
        <v>81</v>
      </c>
      <c r="E914" s="5">
        <v>-29276</v>
      </c>
      <c r="F914" s="3" t="s">
        <v>54</v>
      </c>
      <c r="G914" s="3" t="s">
        <v>284</v>
      </c>
      <c r="H914" s="2" t="s">
        <v>65</v>
      </c>
      <c r="I914" s="2" t="s">
        <v>2454</v>
      </c>
      <c r="J914" s="3" t="str">
        <f>HYPERLINK("https://www.boe.es/gazeta/dias/1819/11/04/pdfs/GMD-1819-136.pdf#page=6","Abrir facsímil")</f>
        <v>Abrir facsímil</v>
      </c>
      <c r="K914" s="3" t="s">
        <v>67</v>
      </c>
    </row>
    <row r="915" spans="1:11" ht="42" customHeight="1">
      <c r="A915" s="2" t="s">
        <v>2455</v>
      </c>
      <c r="B915" s="2" t="s">
        <v>2456</v>
      </c>
      <c r="C915" s="2" t="s">
        <v>42</v>
      </c>
      <c r="D915" s="2" t="s">
        <v>43</v>
      </c>
      <c r="E915" s="5">
        <v>-29257</v>
      </c>
      <c r="F915" s="3" t="s">
        <v>73</v>
      </c>
      <c r="G915" s="3" t="s">
        <v>33</v>
      </c>
      <c r="H915" s="2" t="s">
        <v>65</v>
      </c>
      <c r="I915" s="2" t="s">
        <v>2457</v>
      </c>
      <c r="J915" s="3" t="str">
        <f>HYPERLINK("https://www.boe.es/gazeta/dias/1819/11/23/pdfs/GMD-1819-144.pdf#page=6","Abrir facsímil")</f>
        <v>Abrir facsímil</v>
      </c>
      <c r="K915" s="3" t="s">
        <v>67</v>
      </c>
    </row>
    <row r="916" spans="1:11" ht="42" customHeight="1">
      <c r="A916" s="2" t="s">
        <v>2458</v>
      </c>
      <c r="B916" s="2" t="s">
        <v>2459</v>
      </c>
      <c r="C916" s="2" t="s">
        <v>59</v>
      </c>
      <c r="D916" s="2" t="s">
        <v>18</v>
      </c>
      <c r="E916" s="5">
        <v>-29535</v>
      </c>
      <c r="F916" s="3" t="s">
        <v>200</v>
      </c>
      <c r="G916" s="3" t="s">
        <v>33</v>
      </c>
      <c r="H916" s="2" t="s">
        <v>65</v>
      </c>
      <c r="I916" s="2" t="s">
        <v>2460</v>
      </c>
      <c r="J916" s="3" t="str">
        <f>HYPERLINK("https://www.boe.es/gazeta/dias/1819/02/18/pdfs/GMD-1819-21.pdf#page=6","Abrir facsímil")</f>
        <v>Abrir facsímil</v>
      </c>
      <c r="K916" s="3" t="s">
        <v>67</v>
      </c>
    </row>
    <row r="917" spans="1:11" ht="42" customHeight="1">
      <c r="A917" s="2" t="s">
        <v>2461</v>
      </c>
      <c r="B917" s="2" t="s">
        <v>2462</v>
      </c>
      <c r="C917" s="2" t="s">
        <v>215</v>
      </c>
      <c r="D917" s="2" t="s">
        <v>18</v>
      </c>
      <c r="E917" s="5">
        <v>-29519</v>
      </c>
      <c r="F917" s="3" t="s">
        <v>142</v>
      </c>
      <c r="G917" s="3" t="s">
        <v>143</v>
      </c>
      <c r="H917" s="2" t="s">
        <v>65</v>
      </c>
      <c r="I917" s="2" t="s">
        <v>2463</v>
      </c>
      <c r="J917" s="3" t="str">
        <f>HYPERLINK("https://www.boe.es/gazeta/dias/1819/03/06/pdfs/GMD-1819-28.pdf#page=7","Abrir facsímil")</f>
        <v>Abrir facsímil</v>
      </c>
      <c r="K917" s="3" t="s">
        <v>67</v>
      </c>
    </row>
    <row r="918" spans="1:11" ht="42" customHeight="1">
      <c r="A918" s="2" t="s">
        <v>2464</v>
      </c>
      <c r="B918" s="2" t="s">
        <v>2465</v>
      </c>
      <c r="C918" s="2" t="s">
        <v>17</v>
      </c>
      <c r="D918" s="2" t="s">
        <v>18</v>
      </c>
      <c r="E918" s="5">
        <v>-29390</v>
      </c>
      <c r="F918" s="3" t="s">
        <v>263</v>
      </c>
      <c r="G918" s="3" t="s">
        <v>33</v>
      </c>
      <c r="H918" s="2" t="s">
        <v>65</v>
      </c>
      <c r="I918" s="2" t="s">
        <v>2466</v>
      </c>
      <c r="J918" s="3" t="str">
        <f>HYPERLINK("https://www.boe.es/gazeta/dias/1819/07/13/pdfs/GMD-1819-84.pdf#page=6","Abrir facsímil")</f>
        <v>Abrir facsímil</v>
      </c>
      <c r="K918" s="3" t="s">
        <v>67</v>
      </c>
    </row>
    <row r="919" spans="1:11" ht="42" customHeight="1">
      <c r="A919" s="2" t="s">
        <v>2467</v>
      </c>
      <c r="B919" s="2" t="s">
        <v>2468</v>
      </c>
      <c r="C919" s="2" t="s">
        <v>80</v>
      </c>
      <c r="D919" s="2" t="s">
        <v>81</v>
      </c>
      <c r="E919" s="5">
        <v>-29495</v>
      </c>
      <c r="F919" s="3" t="s">
        <v>992</v>
      </c>
      <c r="G919" s="3" t="s">
        <v>28</v>
      </c>
      <c r="H919" s="2" t="s">
        <v>65</v>
      </c>
      <c r="I919" s="2" t="s">
        <v>2469</v>
      </c>
      <c r="J919" s="3" t="str">
        <f>HYPERLINK("https://www.boe.es/gazeta/dias/1819/03/30/pdfs/GMD-1819-38.pdf#page=8","Abrir facsímil")</f>
        <v>Abrir facsímil</v>
      </c>
      <c r="K919" s="3" t="s">
        <v>67</v>
      </c>
    </row>
    <row r="920" spans="1:11" ht="42" customHeight="1">
      <c r="A920" s="2" t="s">
        <v>2470</v>
      </c>
      <c r="B920" s="2" t="s">
        <v>2471</v>
      </c>
      <c r="C920" s="2" t="s">
        <v>26</v>
      </c>
      <c r="D920" s="2" t="s">
        <v>18</v>
      </c>
      <c r="E920" s="5">
        <v>-29533</v>
      </c>
      <c r="F920" s="3" t="s">
        <v>280</v>
      </c>
      <c r="G920" s="3" t="s">
        <v>28</v>
      </c>
      <c r="H920" s="2" t="s">
        <v>21</v>
      </c>
      <c r="I920" s="2" t="s">
        <v>2472</v>
      </c>
      <c r="J920" s="3" t="str">
        <f>HYPERLINK("https://www.boe.es/gazeta/dias/1819/02/20/pdfs/GMD-1819-22.pdf#page=8","Abrir facsímil")</f>
        <v>Abrir facsímil</v>
      </c>
      <c r="K920" s="3" t="s">
        <v>23</v>
      </c>
    </row>
    <row r="921" spans="1:11" ht="42" customHeight="1">
      <c r="A921" s="2" t="s">
        <v>2473</v>
      </c>
      <c r="B921" s="2" t="s">
        <v>2474</v>
      </c>
      <c r="C921" s="2" t="s">
        <v>215</v>
      </c>
      <c r="D921" s="2" t="s">
        <v>454</v>
      </c>
      <c r="E921" s="5">
        <v>-29287</v>
      </c>
      <c r="F921" s="3" t="s">
        <v>455</v>
      </c>
      <c r="G921" s="3" t="s">
        <v>481</v>
      </c>
      <c r="H921" s="2" t="s">
        <v>65</v>
      </c>
      <c r="I921" s="2" t="s">
        <v>2475</v>
      </c>
      <c r="J921" s="3" t="str">
        <f>HYPERLINK("https://www.boe.es/gazeta/dias/1819/10/24/pdfs/GMD-1819-131E.pdf#page=8","Abrir facsímil")</f>
        <v>Abrir facsímil</v>
      </c>
      <c r="K921" s="3" t="s">
        <v>67</v>
      </c>
    </row>
    <row r="922" spans="1:11" ht="42" customHeight="1">
      <c r="A922" s="2" t="s">
        <v>2476</v>
      </c>
      <c r="B922" s="2" t="s">
        <v>2476</v>
      </c>
      <c r="C922" s="2" t="s">
        <v>80</v>
      </c>
      <c r="D922" s="2" t="s">
        <v>81</v>
      </c>
      <c r="E922" s="5">
        <v>-29502</v>
      </c>
      <c r="F922" s="3" t="s">
        <v>86</v>
      </c>
      <c r="G922" s="3" t="s">
        <v>102</v>
      </c>
      <c r="H922" s="2" t="s">
        <v>65</v>
      </c>
      <c r="I922" s="2" t="s">
        <v>2477</v>
      </c>
      <c r="J922" s="3" t="str">
        <f>HYPERLINK("https://www.boe.es/gazeta/dias/1819/03/23/pdfs/GMD-1819-35.pdf#page=3","Abrir facsímil")</f>
        <v>Abrir facsímil</v>
      </c>
      <c r="K922" s="3" t="s">
        <v>67</v>
      </c>
    </row>
    <row r="923" spans="1:11" ht="42" customHeight="1">
      <c r="A923" s="2" t="s">
        <v>2478</v>
      </c>
      <c r="B923" s="2" t="s">
        <v>2479</v>
      </c>
      <c r="C923" s="2" t="s">
        <v>26</v>
      </c>
      <c r="D923" s="2" t="s">
        <v>18</v>
      </c>
      <c r="E923" s="5">
        <v>-29325</v>
      </c>
      <c r="F923" s="3" t="s">
        <v>174</v>
      </c>
      <c r="G923" s="3" t="s">
        <v>2480</v>
      </c>
      <c r="H923" s="2" t="s">
        <v>65</v>
      </c>
      <c r="I923" s="2" t="s">
        <v>2481</v>
      </c>
      <c r="J923" s="3" t="str">
        <f>HYPERLINK("https://www.boe.es/gazeta/dias/1819/09/16/pdfs/GMD-1819-113.pdf#page=5","Abrir facsímil")</f>
        <v>Abrir facsímil</v>
      </c>
      <c r="K923" s="3" t="s">
        <v>67</v>
      </c>
    </row>
    <row r="924" spans="1:11" ht="42" customHeight="1">
      <c r="A924" s="2" t="s">
        <v>2482</v>
      </c>
      <c r="B924" s="2" t="s">
        <v>2483</v>
      </c>
      <c r="C924" s="2" t="s">
        <v>80</v>
      </c>
      <c r="D924" s="2" t="s">
        <v>81</v>
      </c>
      <c r="E924" s="5">
        <v>-29397</v>
      </c>
      <c r="F924" s="3" t="s">
        <v>599</v>
      </c>
      <c r="G924" s="3" t="s">
        <v>38</v>
      </c>
      <c r="H924" s="2" t="s">
        <v>65</v>
      </c>
      <c r="I924" s="2" t="s">
        <v>2484</v>
      </c>
      <c r="J924" s="3" t="str">
        <f>HYPERLINK("https://www.boe.es/gazeta/dias/1819/07/06/pdfs/GMD-1819-81.pdf#page=5","Abrir facsímil")</f>
        <v>Abrir facsímil</v>
      </c>
      <c r="K924" s="3" t="s">
        <v>67</v>
      </c>
    </row>
    <row r="925" spans="1:11" ht="42" customHeight="1">
      <c r="A925" s="2" t="s">
        <v>2485</v>
      </c>
      <c r="B925" s="2" t="s">
        <v>2485</v>
      </c>
      <c r="C925" s="2" t="s">
        <v>80</v>
      </c>
      <c r="D925" s="2" t="s">
        <v>81</v>
      </c>
      <c r="E925" s="5">
        <v>-29439</v>
      </c>
      <c r="F925" s="3" t="s">
        <v>1101</v>
      </c>
      <c r="G925" s="3" t="s">
        <v>38</v>
      </c>
      <c r="H925" s="2" t="s">
        <v>65</v>
      </c>
      <c r="I925" s="2" t="s">
        <v>2486</v>
      </c>
      <c r="J925" s="3" t="str">
        <f>HYPERLINK("https://www.boe.es/gazeta/dias/1819/05/25/pdfs/GMD-1819-62.pdf#page=5","Abrir facsímil")</f>
        <v>Abrir facsímil</v>
      </c>
      <c r="K925" s="3" t="s">
        <v>67</v>
      </c>
    </row>
    <row r="926" spans="1:11" ht="42" customHeight="1">
      <c r="A926" s="2" t="s">
        <v>2487</v>
      </c>
      <c r="B926" s="2" t="s">
        <v>2488</v>
      </c>
      <c r="C926" s="2" t="s">
        <v>80</v>
      </c>
      <c r="D926" s="2" t="s">
        <v>81</v>
      </c>
      <c r="E926" s="5">
        <v>-29449</v>
      </c>
      <c r="F926" s="3" t="s">
        <v>771</v>
      </c>
      <c r="G926" s="3" t="s">
        <v>55</v>
      </c>
      <c r="H926" s="2" t="s">
        <v>65</v>
      </c>
      <c r="I926" s="2" t="s">
        <v>2489</v>
      </c>
      <c r="J926" s="3" t="str">
        <f>HYPERLINK("https://www.boe.es/gazeta/dias/1819/05/15/pdfs/GMD-1819-58.pdf#page=7","Abrir facsímil")</f>
        <v>Abrir facsímil</v>
      </c>
      <c r="K926" s="3" t="s">
        <v>67</v>
      </c>
    </row>
    <row r="927" spans="1:11" ht="42" customHeight="1">
      <c r="A927" s="2" t="s">
        <v>2487</v>
      </c>
      <c r="B927" s="2" t="s">
        <v>2488</v>
      </c>
      <c r="C927" s="2" t="s">
        <v>80</v>
      </c>
      <c r="D927" s="2" t="s">
        <v>81</v>
      </c>
      <c r="E927" s="5">
        <v>-29409</v>
      </c>
      <c r="F927" s="3" t="s">
        <v>106</v>
      </c>
      <c r="G927" s="3" t="s">
        <v>55</v>
      </c>
      <c r="H927" s="2" t="s">
        <v>65</v>
      </c>
      <c r="I927" s="2" t="s">
        <v>2490</v>
      </c>
      <c r="J927" s="3" t="str">
        <f>HYPERLINK("https://www.boe.es/gazeta/dias/1819/06/24/pdfs/GMD-1819-76.pdf#page=7","Abrir facsímil")</f>
        <v>Abrir facsímil</v>
      </c>
      <c r="K927" s="3" t="s">
        <v>67</v>
      </c>
    </row>
    <row r="928" spans="1:11" ht="42" customHeight="1">
      <c r="A928" s="2" t="s">
        <v>2491</v>
      </c>
      <c r="B928" s="2" t="s">
        <v>2492</v>
      </c>
      <c r="C928" s="2" t="s">
        <v>59</v>
      </c>
      <c r="D928" s="2" t="s">
        <v>18</v>
      </c>
      <c r="E928" s="5">
        <v>-29451</v>
      </c>
      <c r="F928" s="3" t="s">
        <v>208</v>
      </c>
      <c r="G928" s="3" t="s">
        <v>55</v>
      </c>
      <c r="H928" s="2" t="s">
        <v>65</v>
      </c>
      <c r="I928" s="2" t="s">
        <v>2493</v>
      </c>
      <c r="J928" s="3" t="str">
        <f>HYPERLINK("https://www.boe.es/gazeta/dias/1819/05/13/pdfs/GMD-1819-57.pdf#page=7","Abrir facsímil")</f>
        <v>Abrir facsímil</v>
      </c>
      <c r="K928" s="3" t="s">
        <v>67</v>
      </c>
    </row>
    <row r="929" spans="1:11" ht="42" customHeight="1">
      <c r="A929" s="2" t="s">
        <v>2494</v>
      </c>
      <c r="B929" s="2" t="s">
        <v>2495</v>
      </c>
      <c r="C929" s="2" t="s">
        <v>136</v>
      </c>
      <c r="D929" s="2" t="s">
        <v>18</v>
      </c>
      <c r="E929" s="5">
        <v>-29376</v>
      </c>
      <c r="F929" s="3" t="s">
        <v>332</v>
      </c>
      <c r="G929" s="3" t="s">
        <v>28</v>
      </c>
      <c r="H929" s="2" t="s">
        <v>65</v>
      </c>
      <c r="I929" s="2" t="s">
        <v>2496</v>
      </c>
      <c r="J929" s="3" t="str">
        <f>HYPERLINK("https://www.boe.es/gazeta/dias/1819/07/27/pdfs/GMD-1819-90.pdf#page=8","Abrir facsímil")</f>
        <v>Abrir facsímil</v>
      </c>
      <c r="K929" s="3" t="s">
        <v>67</v>
      </c>
    </row>
    <row r="930" spans="1:11" ht="42" customHeight="1">
      <c r="A930" s="2" t="s">
        <v>2497</v>
      </c>
      <c r="B930" s="2" t="s">
        <v>2498</v>
      </c>
      <c r="C930" s="2" t="s">
        <v>26</v>
      </c>
      <c r="D930" s="2" t="s">
        <v>18</v>
      </c>
      <c r="E930" s="5">
        <v>-29222</v>
      </c>
      <c r="F930" s="3" t="s">
        <v>338</v>
      </c>
      <c r="G930" s="3" t="s">
        <v>38</v>
      </c>
      <c r="H930" s="2" t="s">
        <v>65</v>
      </c>
      <c r="I930" s="2" t="s">
        <v>2499</v>
      </c>
      <c r="J930" s="3" t="str">
        <f>HYPERLINK("https://www.boe.es/gazeta/dias/1819/12/28/pdfs/GMD-1819-159.pdf#page=5","Abrir facsímil")</f>
        <v>Abrir facsímil</v>
      </c>
      <c r="K930" s="3" t="s">
        <v>67</v>
      </c>
    </row>
    <row r="931" spans="1:11" ht="42" customHeight="1">
      <c r="A931" s="2" t="s">
        <v>2500</v>
      </c>
      <c r="B931" s="2" t="s">
        <v>2501</v>
      </c>
      <c r="C931" s="2" t="s">
        <v>80</v>
      </c>
      <c r="D931" s="2" t="s">
        <v>81</v>
      </c>
      <c r="E931" s="5">
        <v>-29463</v>
      </c>
      <c r="F931" s="3" t="s">
        <v>114</v>
      </c>
      <c r="G931" s="3" t="s">
        <v>115</v>
      </c>
      <c r="H931" s="2" t="s">
        <v>65</v>
      </c>
      <c r="I931" s="2" t="s">
        <v>2502</v>
      </c>
      <c r="J931" s="3" t="str">
        <f>HYPERLINK("https://www.boe.es/gazeta/dias/1819/05/01/pdfs/GMD-1819-52.pdf#page=7","Abrir facsímil")</f>
        <v>Abrir facsímil</v>
      </c>
      <c r="K931" s="3" t="s">
        <v>67</v>
      </c>
    </row>
    <row r="932" spans="1:11" ht="42" customHeight="1">
      <c r="A932" s="2" t="s">
        <v>2503</v>
      </c>
      <c r="B932" s="2" t="s">
        <v>2503</v>
      </c>
      <c r="C932" s="2" t="s">
        <v>63</v>
      </c>
      <c r="D932" s="2" t="s">
        <v>43</v>
      </c>
      <c r="E932" s="5">
        <v>-29397</v>
      </c>
      <c r="F932" s="3" t="s">
        <v>599</v>
      </c>
      <c r="G932" s="3" t="s">
        <v>28</v>
      </c>
      <c r="H932" s="2" t="s">
        <v>65</v>
      </c>
      <c r="I932" s="2" t="s">
        <v>2504</v>
      </c>
      <c r="J932" s="3" t="str">
        <f>HYPERLINK("https://www.boe.es/gazeta/dias/1819/07/06/pdfs/GMD-1819-81.pdf#page=8","Abrir facsímil")</f>
        <v>Abrir facsímil</v>
      </c>
      <c r="K932" s="3" t="s">
        <v>67</v>
      </c>
    </row>
    <row r="933" spans="1:11" ht="42" customHeight="1">
      <c r="A933" s="2" t="s">
        <v>2505</v>
      </c>
      <c r="B933" s="2" t="s">
        <v>2506</v>
      </c>
      <c r="C933" s="2" t="s">
        <v>136</v>
      </c>
      <c r="D933" s="2" t="s">
        <v>18</v>
      </c>
      <c r="E933" s="5">
        <v>-29225</v>
      </c>
      <c r="F933" s="3" t="s">
        <v>472</v>
      </c>
      <c r="G933" s="3" t="s">
        <v>55</v>
      </c>
      <c r="H933" s="2" t="s">
        <v>65</v>
      </c>
      <c r="I933" s="2" t="s">
        <v>2507</v>
      </c>
      <c r="J933" s="3" t="str">
        <f>HYPERLINK("https://www.boe.es/gazeta/dias/1819/12/25/pdfs/GMD-1819-158.pdf#page=7","Abrir facsímil")</f>
        <v>Abrir facsímil</v>
      </c>
      <c r="K933" s="3" t="s">
        <v>67</v>
      </c>
    </row>
    <row r="934" spans="1:11" ht="42" customHeight="1">
      <c r="A934" s="2" t="s">
        <v>2508</v>
      </c>
      <c r="B934" s="2" t="s">
        <v>2508</v>
      </c>
      <c r="C934" s="2" t="s">
        <v>63</v>
      </c>
      <c r="D934" s="2" t="s">
        <v>43</v>
      </c>
      <c r="E934" s="5">
        <v>-29477</v>
      </c>
      <c r="F934" s="3" t="s">
        <v>789</v>
      </c>
      <c r="G934" s="3" t="s">
        <v>239</v>
      </c>
      <c r="H934" s="2" t="s">
        <v>65</v>
      </c>
      <c r="I934" s="2" t="s">
        <v>2509</v>
      </c>
      <c r="J934" s="3" t="str">
        <f>HYPERLINK("https://www.boe.es/gazeta/dias/1819/04/17/pdfs/GMD-1819-46.pdf#page=1","Abrir facsímil")</f>
        <v>Abrir facsímil</v>
      </c>
      <c r="K934" s="3" t="s">
        <v>67</v>
      </c>
    </row>
    <row r="935" spans="1:11" ht="42" customHeight="1">
      <c r="A935" s="2" t="s">
        <v>2510</v>
      </c>
      <c r="B935" s="2" t="s">
        <v>2511</v>
      </c>
      <c r="C935" s="2" t="s">
        <v>80</v>
      </c>
      <c r="D935" s="2" t="s">
        <v>81</v>
      </c>
      <c r="E935" s="5">
        <v>-29472</v>
      </c>
      <c r="F935" s="3" t="s">
        <v>393</v>
      </c>
      <c r="G935" s="3" t="s">
        <v>33</v>
      </c>
      <c r="H935" s="2" t="s">
        <v>65</v>
      </c>
      <c r="I935" s="2" t="s">
        <v>2512</v>
      </c>
      <c r="J935" s="3" t="str">
        <f>HYPERLINK("https://www.boe.es/gazeta/dias/1819/04/22/pdfs/GMD-1819-48.pdf#page=6","Abrir facsímil")</f>
        <v>Abrir facsímil</v>
      </c>
      <c r="K935" s="3" t="s">
        <v>67</v>
      </c>
    </row>
    <row r="936" spans="1:11" ht="42" customHeight="1">
      <c r="A936" s="2" t="s">
        <v>2513</v>
      </c>
      <c r="B936" s="2" t="s">
        <v>2514</v>
      </c>
      <c r="C936" s="2" t="s">
        <v>80</v>
      </c>
      <c r="D936" s="2" t="s">
        <v>81</v>
      </c>
      <c r="E936" s="5">
        <v>-29579</v>
      </c>
      <c r="F936" s="3" t="s">
        <v>186</v>
      </c>
      <c r="G936" s="3" t="s">
        <v>33</v>
      </c>
      <c r="H936" s="2" t="s">
        <v>65</v>
      </c>
      <c r="I936" s="2" t="s">
        <v>2515</v>
      </c>
      <c r="J936" s="3" t="str">
        <f>HYPERLINK("https://www.boe.es/gazeta/dias/1819/01/05/pdfs/GMD-1819-2.pdf#page=6","Abrir facsímil")</f>
        <v>Abrir facsímil</v>
      </c>
      <c r="K936" s="3" t="s">
        <v>67</v>
      </c>
    </row>
    <row r="937" spans="1:11" ht="42" customHeight="1">
      <c r="A937" s="2" t="s">
        <v>2516</v>
      </c>
      <c r="B937" s="2" t="s">
        <v>2517</v>
      </c>
      <c r="C937" s="2" t="s">
        <v>80</v>
      </c>
      <c r="D937" s="2" t="s">
        <v>81</v>
      </c>
      <c r="E937" s="5">
        <v>-29579</v>
      </c>
      <c r="F937" s="3" t="s">
        <v>186</v>
      </c>
      <c r="G937" s="3" t="s">
        <v>55</v>
      </c>
      <c r="H937" s="2" t="s">
        <v>65</v>
      </c>
      <c r="I937" s="2" t="s">
        <v>2518</v>
      </c>
      <c r="J937" s="3" t="str">
        <f>HYPERLINK("https://www.boe.es/gazeta/dias/1819/01/05/pdfs/GMD-1819-2.pdf#page=7","Abrir facsímil")</f>
        <v>Abrir facsímil</v>
      </c>
      <c r="K937" s="3" t="s">
        <v>67</v>
      </c>
    </row>
    <row r="938" spans="1:11" ht="42" customHeight="1">
      <c r="A938" s="2" t="s">
        <v>2516</v>
      </c>
      <c r="B938" s="2" t="s">
        <v>2517</v>
      </c>
      <c r="C938" s="2" t="s">
        <v>80</v>
      </c>
      <c r="D938" s="2" t="s">
        <v>81</v>
      </c>
      <c r="E938" s="5">
        <v>-29458</v>
      </c>
      <c r="F938" s="3" t="s">
        <v>766</v>
      </c>
      <c r="G938" s="3" t="s">
        <v>296</v>
      </c>
      <c r="H938" s="2" t="s">
        <v>65</v>
      </c>
      <c r="I938" s="2" t="s">
        <v>2519</v>
      </c>
      <c r="J938" s="3" t="str">
        <f>HYPERLINK("https://www.boe.es/gazeta/dias/1819/05/06/pdfs/GMD-1819-54.pdf#page=4","Abrir facsímil")</f>
        <v>Abrir facsímil</v>
      </c>
      <c r="K938" s="3" t="s">
        <v>67</v>
      </c>
    </row>
    <row r="939" spans="1:11" ht="42" customHeight="1">
      <c r="A939" s="2" t="s">
        <v>2516</v>
      </c>
      <c r="B939" s="2" t="s">
        <v>2517</v>
      </c>
      <c r="C939" s="2" t="s">
        <v>80</v>
      </c>
      <c r="D939" s="2" t="s">
        <v>81</v>
      </c>
      <c r="E939" s="5">
        <v>-29458</v>
      </c>
      <c r="F939" s="3" t="s">
        <v>766</v>
      </c>
      <c r="G939" s="3" t="s">
        <v>38</v>
      </c>
      <c r="H939" s="2" t="s">
        <v>65</v>
      </c>
      <c r="I939" s="2" t="s">
        <v>2520</v>
      </c>
      <c r="J939" s="3" t="str">
        <f>HYPERLINK("https://www.boe.es/gazeta/dias/1819/05/06/pdfs/GMD-1819-54.pdf#page=5","Abrir facsímil")</f>
        <v>Abrir facsímil</v>
      </c>
      <c r="K939" s="3" t="s">
        <v>67</v>
      </c>
    </row>
    <row r="940" spans="1:11" ht="42" customHeight="1">
      <c r="A940" s="2" t="s">
        <v>2521</v>
      </c>
      <c r="B940" s="2" t="s">
        <v>2522</v>
      </c>
      <c r="C940" s="2" t="s">
        <v>80</v>
      </c>
      <c r="D940" s="2" t="s">
        <v>81</v>
      </c>
      <c r="E940" s="5">
        <v>-29577</v>
      </c>
      <c r="F940" s="3" t="s">
        <v>1008</v>
      </c>
      <c r="G940" s="3" t="s">
        <v>38</v>
      </c>
      <c r="H940" s="2" t="s">
        <v>65</v>
      </c>
      <c r="I940" s="2" t="s">
        <v>2523</v>
      </c>
      <c r="J940" s="3" t="str">
        <f>HYPERLINK("https://www.boe.es/gazeta/dias/1819/01/07/pdfs/GMD-1819-3.pdf#page=5","Abrir facsímil")</f>
        <v>Abrir facsímil</v>
      </c>
      <c r="K940" s="3" t="s">
        <v>67</v>
      </c>
    </row>
    <row r="941" spans="1:11" ht="42" customHeight="1">
      <c r="A941" s="2" t="s">
        <v>2524</v>
      </c>
      <c r="B941" s="2" t="s">
        <v>2525</v>
      </c>
      <c r="C941" s="2" t="s">
        <v>17</v>
      </c>
      <c r="D941" s="2" t="s">
        <v>18</v>
      </c>
      <c r="E941" s="5">
        <v>-29533</v>
      </c>
      <c r="F941" s="3" t="s">
        <v>280</v>
      </c>
      <c r="G941" s="3" t="s">
        <v>55</v>
      </c>
      <c r="H941" s="2" t="s">
        <v>65</v>
      </c>
      <c r="I941" s="2" t="s">
        <v>2526</v>
      </c>
      <c r="J941" s="3" t="str">
        <f>HYPERLINK("https://www.boe.es/gazeta/dias/1819/02/20/pdfs/GMD-1819-22.pdf#page=7","Abrir facsímil")</f>
        <v>Abrir facsímil</v>
      </c>
      <c r="K941" s="3" t="s">
        <v>67</v>
      </c>
    </row>
    <row r="942" spans="1:11" ht="42" customHeight="1">
      <c r="A942" s="2" t="s">
        <v>2527</v>
      </c>
      <c r="B942" s="2" t="s">
        <v>2528</v>
      </c>
      <c r="C942" s="2" t="s">
        <v>59</v>
      </c>
      <c r="D942" s="2" t="s">
        <v>18</v>
      </c>
      <c r="E942" s="5">
        <v>-29309</v>
      </c>
      <c r="F942" s="3" t="s">
        <v>476</v>
      </c>
      <c r="G942" s="3" t="s">
        <v>477</v>
      </c>
      <c r="H942" s="2" t="s">
        <v>65</v>
      </c>
      <c r="I942" s="2" t="s">
        <v>2529</v>
      </c>
      <c r="J942" s="3" t="str">
        <f>HYPERLINK("https://www.boe.es/gazeta/dias/1819/10/02/pdfs/GMD-1819-121.pdf#page=6","Abrir facsímil")</f>
        <v>Abrir facsímil</v>
      </c>
      <c r="K942" s="3" t="s">
        <v>67</v>
      </c>
    </row>
    <row r="943" spans="1:11" ht="42" customHeight="1">
      <c r="A943" s="2" t="s">
        <v>2530</v>
      </c>
      <c r="B943" s="2" t="s">
        <v>2531</v>
      </c>
      <c r="C943" s="2" t="s">
        <v>136</v>
      </c>
      <c r="D943" s="2" t="s">
        <v>18</v>
      </c>
      <c r="E943" s="5">
        <v>-29458</v>
      </c>
      <c r="F943" s="3" t="s">
        <v>766</v>
      </c>
      <c r="G943" s="3" t="s">
        <v>33</v>
      </c>
      <c r="H943" s="2" t="s">
        <v>65</v>
      </c>
      <c r="I943" s="2" t="s">
        <v>2532</v>
      </c>
      <c r="J943" s="3" t="str">
        <f>HYPERLINK("https://www.boe.es/gazeta/dias/1819/05/06/pdfs/GMD-1819-54.pdf#page=6","Abrir facsímil")</f>
        <v>Abrir facsímil</v>
      </c>
      <c r="K943" s="3" t="s">
        <v>67</v>
      </c>
    </row>
    <row r="944" spans="1:11" ht="42" customHeight="1">
      <c r="A944" s="2" t="s">
        <v>2533</v>
      </c>
      <c r="B944" s="2" t="s">
        <v>2534</v>
      </c>
      <c r="C944" s="2" t="s">
        <v>80</v>
      </c>
      <c r="D944" s="2" t="s">
        <v>81</v>
      </c>
      <c r="E944" s="5">
        <v>-29437</v>
      </c>
      <c r="F944" s="3" t="s">
        <v>1147</v>
      </c>
      <c r="G944" s="3" t="s">
        <v>28</v>
      </c>
      <c r="H944" s="2" t="s">
        <v>21</v>
      </c>
      <c r="I944" s="2" t="s">
        <v>2535</v>
      </c>
      <c r="J944" s="3" t="str">
        <f>HYPERLINK("https://www.boe.es/gazeta/dias/1819/05/27/pdfs/GMD-1819-63.pdf#page=8","Abrir facsímil")</f>
        <v>Abrir facsímil</v>
      </c>
      <c r="K944" s="3" t="s">
        <v>23</v>
      </c>
    </row>
    <row r="945" spans="1:11" ht="42" customHeight="1">
      <c r="A945" s="2" t="s">
        <v>2536</v>
      </c>
      <c r="B945" s="2" t="s">
        <v>2537</v>
      </c>
      <c r="C945" s="2" t="s">
        <v>80</v>
      </c>
      <c r="D945" s="2" t="s">
        <v>81</v>
      </c>
      <c r="E945" s="5">
        <v>-29570</v>
      </c>
      <c r="F945" s="3" t="s">
        <v>2008</v>
      </c>
      <c r="G945" s="3" t="s">
        <v>55</v>
      </c>
      <c r="H945" s="2" t="s">
        <v>65</v>
      </c>
      <c r="I945" s="2" t="s">
        <v>2538</v>
      </c>
      <c r="J945" s="3" t="str">
        <f>HYPERLINK("https://www.boe.es/gazeta/dias/1819/01/14/pdfs/GMD-1819-6.pdf#page=7","Abrir facsímil")</f>
        <v>Abrir facsímil</v>
      </c>
      <c r="K945" s="3" t="s">
        <v>67</v>
      </c>
    </row>
    <row r="946" spans="1:11" ht="42" customHeight="1">
      <c r="A946" s="2" t="s">
        <v>2536</v>
      </c>
      <c r="B946" s="2" t="s">
        <v>2537</v>
      </c>
      <c r="C946" s="2" t="s">
        <v>63</v>
      </c>
      <c r="D946" s="2" t="s">
        <v>43</v>
      </c>
      <c r="E946" s="5">
        <v>-29488</v>
      </c>
      <c r="F946" s="3" t="s">
        <v>27</v>
      </c>
      <c r="G946" s="3" t="s">
        <v>55</v>
      </c>
      <c r="H946" s="2" t="s">
        <v>65</v>
      </c>
      <c r="I946" s="2" t="s">
        <v>2539</v>
      </c>
      <c r="J946" s="3" t="str">
        <f>HYPERLINK("https://www.boe.es/gazeta/dias/1819/04/06/pdfs/GMD-1819-41.pdf#page=7","Abrir facsímil")</f>
        <v>Abrir facsímil</v>
      </c>
      <c r="K946" s="3" t="s">
        <v>67</v>
      </c>
    </row>
    <row r="947" spans="1:11" ht="42" customHeight="1">
      <c r="A947" s="2" t="s">
        <v>2540</v>
      </c>
      <c r="B947" s="2" t="s">
        <v>2541</v>
      </c>
      <c r="C947" s="2" t="s">
        <v>80</v>
      </c>
      <c r="D947" s="2" t="s">
        <v>81</v>
      </c>
      <c r="E947" s="5">
        <v>-29320</v>
      </c>
      <c r="F947" s="3" t="s">
        <v>690</v>
      </c>
      <c r="G947" s="3" t="s">
        <v>55</v>
      </c>
      <c r="H947" s="2" t="s">
        <v>65</v>
      </c>
      <c r="I947" s="2" t="s">
        <v>2542</v>
      </c>
      <c r="J947" s="3" t="str">
        <f>HYPERLINK("https://www.boe.es/gazeta/dias/1819/09/21/pdfs/GMD-1819-116.pdf#page=7","Abrir facsímil")</f>
        <v>Abrir facsímil</v>
      </c>
      <c r="K947" s="3" t="s">
        <v>67</v>
      </c>
    </row>
    <row r="948" spans="1:11" ht="42" customHeight="1">
      <c r="A948" s="2" t="s">
        <v>2543</v>
      </c>
      <c r="B948" s="2" t="s">
        <v>2543</v>
      </c>
      <c r="C948" s="2" t="s">
        <v>80</v>
      </c>
      <c r="D948" s="2" t="s">
        <v>81</v>
      </c>
      <c r="E948" s="5">
        <v>-29495</v>
      </c>
      <c r="F948" s="3" t="s">
        <v>992</v>
      </c>
      <c r="G948" s="3" t="s">
        <v>28</v>
      </c>
      <c r="H948" s="2" t="s">
        <v>65</v>
      </c>
      <c r="I948" s="2" t="s">
        <v>2544</v>
      </c>
      <c r="J948" s="3" t="str">
        <f>HYPERLINK("https://www.boe.es/gazeta/dias/1819/03/30/pdfs/GMD-1819-38.pdf#page=8","Abrir facsímil")</f>
        <v>Abrir facsímil</v>
      </c>
      <c r="K948" s="3" t="s">
        <v>67</v>
      </c>
    </row>
    <row r="949" spans="1:11" ht="42" customHeight="1">
      <c r="A949" s="2" t="s">
        <v>2545</v>
      </c>
      <c r="B949" s="2" t="s">
        <v>2545</v>
      </c>
      <c r="C949" s="2" t="s">
        <v>63</v>
      </c>
      <c r="D949" s="2" t="s">
        <v>43</v>
      </c>
      <c r="E949" s="5">
        <v>-29407</v>
      </c>
      <c r="F949" s="3" t="s">
        <v>64</v>
      </c>
      <c r="G949" s="3" t="s">
        <v>55</v>
      </c>
      <c r="H949" s="2" t="s">
        <v>65</v>
      </c>
      <c r="I949" s="2" t="s">
        <v>2546</v>
      </c>
      <c r="J949" s="3" t="str">
        <f>HYPERLINK("https://www.boe.es/gazeta/dias/1819/06/26/pdfs/GMD-1819-77.pdf#page=7","Abrir facsímil")</f>
        <v>Abrir facsímil</v>
      </c>
      <c r="K949" s="3" t="s">
        <v>67</v>
      </c>
    </row>
    <row r="950" spans="1:11" ht="42" customHeight="1">
      <c r="A950" s="2" t="s">
        <v>2547</v>
      </c>
      <c r="B950" s="2" t="s">
        <v>2547</v>
      </c>
      <c r="C950" s="2" t="s">
        <v>59</v>
      </c>
      <c r="D950" s="2" t="s">
        <v>18</v>
      </c>
      <c r="E950" s="5">
        <v>-29460</v>
      </c>
      <c r="F950" s="3" t="s">
        <v>1534</v>
      </c>
      <c r="G950" s="3" t="s">
        <v>259</v>
      </c>
      <c r="H950" s="2" t="s">
        <v>65</v>
      </c>
      <c r="I950" s="2" t="s">
        <v>2548</v>
      </c>
      <c r="J950" s="3" t="str">
        <f>HYPERLINK("https://www.boe.es/gazeta/dias/1819/05/04/pdfs/GMD-1819-53.pdf#page=2","Abrir facsímil")</f>
        <v>Abrir facsímil</v>
      </c>
      <c r="K950" s="3" t="s">
        <v>67</v>
      </c>
    </row>
    <row r="951" spans="1:11" ht="42" customHeight="1">
      <c r="A951" s="2" t="s">
        <v>2549</v>
      </c>
      <c r="B951" s="2" t="s">
        <v>2550</v>
      </c>
      <c r="C951" s="2" t="s">
        <v>80</v>
      </c>
      <c r="D951" s="2" t="s">
        <v>81</v>
      </c>
      <c r="E951" s="5">
        <v>-29421</v>
      </c>
      <c r="F951" s="3" t="s">
        <v>1972</v>
      </c>
      <c r="G951" s="3" t="s">
        <v>2551</v>
      </c>
      <c r="H951" s="2" t="s">
        <v>65</v>
      </c>
      <c r="I951" s="2" t="s">
        <v>2552</v>
      </c>
      <c r="J951" s="3" t="str">
        <f>HYPERLINK("https://www.boe.es/gazeta/dias/1819/06/12/pdfs/GMD-1819-70.pdf#page=8","Abrir facsímil")</f>
        <v>Abrir facsímil</v>
      </c>
      <c r="K951" s="3" t="s">
        <v>67</v>
      </c>
    </row>
    <row r="952" spans="1:11" ht="42" customHeight="1">
      <c r="A952" s="2" t="s">
        <v>2553</v>
      </c>
      <c r="B952" s="2" t="s">
        <v>2553</v>
      </c>
      <c r="C952" s="2" t="s">
        <v>80</v>
      </c>
      <c r="D952" s="2" t="s">
        <v>81</v>
      </c>
      <c r="E952" s="5">
        <v>-29388</v>
      </c>
      <c r="F952" s="3" t="s">
        <v>879</v>
      </c>
      <c r="G952" s="3" t="s">
        <v>2554</v>
      </c>
      <c r="H952" s="2" t="s">
        <v>65</v>
      </c>
      <c r="I952" s="2" t="s">
        <v>2555</v>
      </c>
      <c r="J952" s="3" t="str">
        <f>HYPERLINK("https://www.boe.es/gazeta/dias/1819/07/15/pdfs/GMD-1819-85.pdf#page=6","Abrir facsímil")</f>
        <v>Abrir facsímil</v>
      </c>
      <c r="K952" s="3" t="s">
        <v>67</v>
      </c>
    </row>
    <row r="953" spans="1:11" ht="42" customHeight="1">
      <c r="A953" s="2" t="s">
        <v>2553</v>
      </c>
      <c r="B953" s="2" t="s">
        <v>2553</v>
      </c>
      <c r="C953" s="2" t="s">
        <v>80</v>
      </c>
      <c r="D953" s="2" t="s">
        <v>81</v>
      </c>
      <c r="E953" s="5">
        <v>-29369</v>
      </c>
      <c r="F953" s="3" t="s">
        <v>231</v>
      </c>
      <c r="G953" s="3" t="s">
        <v>232</v>
      </c>
      <c r="H953" s="2" t="s">
        <v>65</v>
      </c>
      <c r="I953" s="2" t="s">
        <v>2556</v>
      </c>
      <c r="J953" s="3" t="str">
        <f>HYPERLINK("https://www.boe.es/gazeta/dias/1819/08/03/pdfs/GMD-1819-93.pdf#page=5","Abrir facsímil")</f>
        <v>Abrir facsímil</v>
      </c>
      <c r="K953" s="3" t="s">
        <v>67</v>
      </c>
    </row>
    <row r="954" spans="1:11" ht="42" customHeight="1">
      <c r="A954" s="2" t="s">
        <v>2557</v>
      </c>
      <c r="B954" s="2" t="s">
        <v>2557</v>
      </c>
      <c r="C954" s="2" t="s">
        <v>80</v>
      </c>
      <c r="D954" s="2" t="s">
        <v>81</v>
      </c>
      <c r="E954" s="5">
        <v>-29535</v>
      </c>
      <c r="F954" s="3" t="s">
        <v>200</v>
      </c>
      <c r="G954" s="3" t="s">
        <v>296</v>
      </c>
      <c r="H954" s="2" t="s">
        <v>65</v>
      </c>
      <c r="I954" s="2" t="s">
        <v>2558</v>
      </c>
      <c r="J954" s="3" t="str">
        <f>HYPERLINK("https://www.boe.es/gazeta/dias/1819/02/18/pdfs/GMD-1819-21.pdf#page=4","Abrir facsímil")</f>
        <v>Abrir facsímil</v>
      </c>
      <c r="K954" s="3" t="s">
        <v>67</v>
      </c>
    </row>
    <row r="955" spans="1:11" ht="42" customHeight="1">
      <c r="A955" s="2" t="s">
        <v>2557</v>
      </c>
      <c r="B955" s="2" t="s">
        <v>2557</v>
      </c>
      <c r="C955" s="2" t="s">
        <v>63</v>
      </c>
      <c r="D955" s="2" t="s">
        <v>43</v>
      </c>
      <c r="E955" s="5">
        <v>-29472</v>
      </c>
      <c r="F955" s="3" t="s">
        <v>393</v>
      </c>
      <c r="G955" s="3" t="s">
        <v>28</v>
      </c>
      <c r="H955" s="2" t="s">
        <v>65</v>
      </c>
      <c r="I955" s="2" t="s">
        <v>2559</v>
      </c>
      <c r="J955" s="3" t="str">
        <f>HYPERLINK("https://www.boe.es/gazeta/dias/1819/04/22/pdfs/GMD-1819-48.pdf#page=8","Abrir facsímil")</f>
        <v>Abrir facsímil</v>
      </c>
      <c r="K955" s="3" t="s">
        <v>67</v>
      </c>
    </row>
    <row r="956" spans="1:11" ht="42" customHeight="1">
      <c r="A956" s="2" t="s">
        <v>2557</v>
      </c>
      <c r="B956" s="2" t="s">
        <v>2557</v>
      </c>
      <c r="C956" s="2" t="s">
        <v>63</v>
      </c>
      <c r="D956" s="2" t="s">
        <v>43</v>
      </c>
      <c r="E956" s="5">
        <v>-29376</v>
      </c>
      <c r="F956" s="3" t="s">
        <v>332</v>
      </c>
      <c r="G956" s="3" t="s">
        <v>2560</v>
      </c>
      <c r="H956" s="2" t="s">
        <v>65</v>
      </c>
      <c r="I956" s="2" t="s">
        <v>2561</v>
      </c>
      <c r="J956" s="3" t="str">
        <f>HYPERLINK("https://www.boe.es/gazeta/dias/1819/07/27/pdfs/GMD-1819-90.pdf#page=7","Abrir facsímil")</f>
        <v>Abrir facsímil</v>
      </c>
      <c r="K956" s="3" t="s">
        <v>67</v>
      </c>
    </row>
    <row r="957" spans="1:11" ht="42" customHeight="1">
      <c r="A957" s="2" t="s">
        <v>2557</v>
      </c>
      <c r="B957" s="2" t="s">
        <v>2557</v>
      </c>
      <c r="C957" s="2" t="s">
        <v>215</v>
      </c>
      <c r="D957" s="2" t="s">
        <v>18</v>
      </c>
      <c r="E957" s="5">
        <v>-29297</v>
      </c>
      <c r="F957" s="3" t="s">
        <v>82</v>
      </c>
      <c r="G957" s="3" t="s">
        <v>259</v>
      </c>
      <c r="H957" s="2" t="s">
        <v>65</v>
      </c>
      <c r="I957" s="2" t="s">
        <v>2562</v>
      </c>
      <c r="J957" s="3" t="str">
        <f>HYPERLINK("https://www.boe.es/gazeta/dias/1819/10/14/pdfs/GMD-1819-126.pdf#page=2","Abrir facsímil")</f>
        <v>Abrir facsímil</v>
      </c>
      <c r="K957" s="3" t="s">
        <v>67</v>
      </c>
    </row>
    <row r="958" spans="1:11" ht="42" customHeight="1">
      <c r="A958" s="2" t="s">
        <v>2563</v>
      </c>
      <c r="B958" s="2" t="s">
        <v>2564</v>
      </c>
      <c r="C958" s="2" t="s">
        <v>63</v>
      </c>
      <c r="D958" s="2" t="s">
        <v>43</v>
      </c>
      <c r="E958" s="5">
        <v>-29570</v>
      </c>
      <c r="F958" s="3" t="s">
        <v>2008</v>
      </c>
      <c r="G958" s="3" t="s">
        <v>55</v>
      </c>
      <c r="H958" s="2" t="s">
        <v>65</v>
      </c>
      <c r="I958" s="2" t="s">
        <v>2565</v>
      </c>
      <c r="J958" s="3" t="str">
        <f>HYPERLINK("https://www.boe.es/gazeta/dias/1819/01/14/pdfs/GMD-1819-6.pdf#page=7","Abrir facsímil")</f>
        <v>Abrir facsímil</v>
      </c>
      <c r="K958" s="3" t="s">
        <v>67</v>
      </c>
    </row>
    <row r="959" spans="1:11" ht="42" customHeight="1">
      <c r="A959" s="2" t="s">
        <v>2566</v>
      </c>
      <c r="B959" s="2" t="s">
        <v>2567</v>
      </c>
      <c r="C959" s="2" t="s">
        <v>80</v>
      </c>
      <c r="D959" s="2" t="s">
        <v>81</v>
      </c>
      <c r="E959" s="5">
        <v>-29297</v>
      </c>
      <c r="F959" s="3" t="s">
        <v>82</v>
      </c>
      <c r="G959" s="3" t="s">
        <v>33</v>
      </c>
      <c r="H959" s="2" t="s">
        <v>65</v>
      </c>
      <c r="I959" s="2" t="s">
        <v>2568</v>
      </c>
      <c r="J959" s="3" t="str">
        <f>HYPERLINK("https://www.boe.es/gazeta/dias/1819/10/14/pdfs/GMD-1819-126.pdf#page=6","Abrir facsímil")</f>
        <v>Abrir facsímil</v>
      </c>
      <c r="K959" s="3" t="s">
        <v>67</v>
      </c>
    </row>
    <row r="960" spans="1:11" ht="42" customHeight="1">
      <c r="A960" s="2" t="s">
        <v>2569</v>
      </c>
      <c r="B960" s="2" t="s">
        <v>2570</v>
      </c>
      <c r="C960" s="2" t="s">
        <v>80</v>
      </c>
      <c r="D960" s="2" t="s">
        <v>81</v>
      </c>
      <c r="E960" s="5">
        <v>-29229</v>
      </c>
      <c r="F960" s="3" t="s">
        <v>44</v>
      </c>
      <c r="G960" s="3" t="s">
        <v>38</v>
      </c>
      <c r="H960" s="2" t="s">
        <v>65</v>
      </c>
      <c r="I960" s="2" t="s">
        <v>2571</v>
      </c>
      <c r="J960" s="3" t="str">
        <f>HYPERLINK("https://www.boe.es/gazeta/dias/1819/12/21/pdfs/GMD-1819-156.pdf#page=5","Abrir facsímil")</f>
        <v>Abrir facsímil</v>
      </c>
      <c r="K960" s="3" t="s">
        <v>67</v>
      </c>
    </row>
    <row r="961" spans="1:11" ht="42" customHeight="1">
      <c r="A961" s="2" t="s">
        <v>2572</v>
      </c>
      <c r="B961" s="2" t="s">
        <v>2573</v>
      </c>
      <c r="C961" s="2" t="s">
        <v>80</v>
      </c>
      <c r="D961" s="2" t="s">
        <v>81</v>
      </c>
      <c r="E961" s="5">
        <v>-29278</v>
      </c>
      <c r="F961" s="3" t="s">
        <v>1950</v>
      </c>
      <c r="G961" s="3" t="s">
        <v>55</v>
      </c>
      <c r="H961" s="2" t="s">
        <v>65</v>
      </c>
      <c r="I961" s="2" t="s">
        <v>2574</v>
      </c>
      <c r="J961" s="3" t="str">
        <f>HYPERLINK("https://www.boe.es/gazeta/dias/1819/11/02/pdfs/GMD-1819-135.pdf#page=7","Abrir facsímil")</f>
        <v>Abrir facsímil</v>
      </c>
      <c r="K961" s="3" t="s">
        <v>67</v>
      </c>
    </row>
    <row r="962" spans="1:11" ht="42" customHeight="1">
      <c r="A962" s="2" t="s">
        <v>2575</v>
      </c>
      <c r="B962" s="2" t="s">
        <v>2576</v>
      </c>
      <c r="C962" s="2" t="s">
        <v>17</v>
      </c>
      <c r="D962" s="2" t="s">
        <v>18</v>
      </c>
      <c r="E962" s="5">
        <v>-29264</v>
      </c>
      <c r="F962" s="3" t="s">
        <v>37</v>
      </c>
      <c r="G962" s="3" t="s">
        <v>38</v>
      </c>
      <c r="H962" s="2" t="s">
        <v>65</v>
      </c>
      <c r="I962" s="2" t="s">
        <v>2577</v>
      </c>
      <c r="J962" s="3" t="str">
        <f>HYPERLINK("https://www.boe.es/gazeta/dias/1819/11/16/pdfs/GMD-1819-141.pdf#page=5","Abrir facsímil")</f>
        <v>Abrir facsímil</v>
      </c>
      <c r="K962" s="3" t="s">
        <v>67</v>
      </c>
    </row>
    <row r="963" spans="1:11" ht="42" customHeight="1">
      <c r="A963" s="2" t="s">
        <v>2578</v>
      </c>
      <c r="B963" s="2" t="s">
        <v>2579</v>
      </c>
      <c r="C963" s="2" t="s">
        <v>17</v>
      </c>
      <c r="D963" s="2" t="s">
        <v>18</v>
      </c>
      <c r="E963" s="5">
        <v>-29383</v>
      </c>
      <c r="F963" s="3" t="s">
        <v>631</v>
      </c>
      <c r="G963" s="3" t="s">
        <v>55</v>
      </c>
      <c r="H963" s="2" t="s">
        <v>65</v>
      </c>
      <c r="I963" s="2" t="s">
        <v>2580</v>
      </c>
      <c r="J963" s="3" t="str">
        <f>HYPERLINK("https://www.boe.es/gazeta/dias/1819/07/20/pdfs/GMD-1819-87.pdf#page=7","Abrir facsímil")</f>
        <v>Abrir facsímil</v>
      </c>
      <c r="K963" s="3" t="s">
        <v>67</v>
      </c>
    </row>
    <row r="964" spans="1:11" ht="42" customHeight="1">
      <c r="A964" s="2" t="s">
        <v>2578</v>
      </c>
      <c r="B964" s="2" t="s">
        <v>2579</v>
      </c>
      <c r="C964" s="2" t="s">
        <v>17</v>
      </c>
      <c r="D964" s="2" t="s">
        <v>18</v>
      </c>
      <c r="E964" s="5">
        <v>-29332</v>
      </c>
      <c r="F964" s="3" t="s">
        <v>499</v>
      </c>
      <c r="G964" s="3" t="s">
        <v>28</v>
      </c>
      <c r="H964" s="2" t="s">
        <v>65</v>
      </c>
      <c r="I964" s="2" t="s">
        <v>2581</v>
      </c>
      <c r="J964" s="3" t="str">
        <f>HYPERLINK("https://www.boe.es/gazeta/dias/1819/09/09/pdfs/GMD-1819-110.pdf#page=8","Abrir facsímil")</f>
        <v>Abrir facsímil</v>
      </c>
      <c r="K964" s="3" t="s">
        <v>67</v>
      </c>
    </row>
    <row r="965" spans="1:11" ht="42" customHeight="1">
      <c r="A965" s="2" t="s">
        <v>2582</v>
      </c>
      <c r="B965" s="2" t="s">
        <v>2583</v>
      </c>
      <c r="C965" s="2" t="s">
        <v>17</v>
      </c>
      <c r="D965" s="2" t="s">
        <v>18</v>
      </c>
      <c r="E965" s="5">
        <v>-29435</v>
      </c>
      <c r="F965" s="3" t="s">
        <v>191</v>
      </c>
      <c r="G965" s="3" t="s">
        <v>55</v>
      </c>
      <c r="H965" s="2" t="s">
        <v>65</v>
      </c>
      <c r="I965" s="2" t="s">
        <v>2584</v>
      </c>
      <c r="J965" s="3" t="str">
        <f>HYPERLINK("https://www.boe.es/gazeta/dias/1819/05/29/pdfs/GMD-1819-64.pdf#page=7","Abrir facsímil")</f>
        <v>Abrir facsímil</v>
      </c>
      <c r="K965" s="3" t="s">
        <v>67</v>
      </c>
    </row>
    <row r="966" spans="1:11" ht="42" customHeight="1">
      <c r="A966" s="2" t="s">
        <v>2585</v>
      </c>
      <c r="B966" s="2" t="s">
        <v>2586</v>
      </c>
      <c r="C966" s="2" t="s">
        <v>136</v>
      </c>
      <c r="D966" s="2" t="s">
        <v>18</v>
      </c>
      <c r="E966" s="5">
        <v>-29397</v>
      </c>
      <c r="F966" s="3" t="s">
        <v>599</v>
      </c>
      <c r="G966" s="3" t="s">
        <v>28</v>
      </c>
      <c r="H966" s="2" t="s">
        <v>65</v>
      </c>
      <c r="I966" s="2" t="s">
        <v>2587</v>
      </c>
      <c r="J966" s="3" t="str">
        <f>HYPERLINK("https://www.boe.es/gazeta/dias/1819/07/06/pdfs/GMD-1819-81.pdf#page=8","Abrir facsímil")</f>
        <v>Abrir facsímil</v>
      </c>
      <c r="K966" s="3" t="s">
        <v>67</v>
      </c>
    </row>
    <row r="967" spans="1:11" ht="42" customHeight="1">
      <c r="A967" s="2" t="s">
        <v>2588</v>
      </c>
      <c r="B967" s="2" t="s">
        <v>2589</v>
      </c>
      <c r="C967" s="2" t="s">
        <v>80</v>
      </c>
      <c r="D967" s="2" t="s">
        <v>81</v>
      </c>
      <c r="E967" s="5">
        <v>-29486</v>
      </c>
      <c r="F967" s="3" t="s">
        <v>330</v>
      </c>
      <c r="G967" s="3" t="s">
        <v>55</v>
      </c>
      <c r="H967" s="2" t="s">
        <v>65</v>
      </c>
      <c r="I967" s="2" t="s">
        <v>2590</v>
      </c>
      <c r="J967" s="3" t="str">
        <f>HYPERLINK("https://www.boe.es/gazeta/dias/1819/04/08/pdfs/GMD-1819-42.pdf#page=7","Abrir facsímil")</f>
        <v>Abrir facsímil</v>
      </c>
      <c r="K967" s="3" t="s">
        <v>67</v>
      </c>
    </row>
    <row r="968" spans="1:11" ht="42" customHeight="1">
      <c r="A968" s="2" t="s">
        <v>2591</v>
      </c>
      <c r="B968" s="2" t="s">
        <v>2592</v>
      </c>
      <c r="C968" s="2" t="s">
        <v>59</v>
      </c>
      <c r="D968" s="2" t="s">
        <v>18</v>
      </c>
      <c r="E968" s="5">
        <v>-29274</v>
      </c>
      <c r="F968" s="3" t="s">
        <v>247</v>
      </c>
      <c r="G968" s="3" t="s">
        <v>55</v>
      </c>
      <c r="H968" s="2" t="s">
        <v>65</v>
      </c>
      <c r="I968" s="2" t="s">
        <v>2593</v>
      </c>
      <c r="J968" s="3" t="str">
        <f>HYPERLINK("https://www.boe.es/gazeta/dias/1819/11/06/pdfs/GMD-1819-137.pdf#page=7","Abrir facsímil")</f>
        <v>Abrir facsímil</v>
      </c>
      <c r="K968" s="3" t="s">
        <v>67</v>
      </c>
    </row>
    <row r="969" spans="1:11" ht="42" customHeight="1">
      <c r="A969" s="2" t="s">
        <v>2594</v>
      </c>
      <c r="B969" s="2" t="s">
        <v>2595</v>
      </c>
      <c r="C969" s="2" t="s">
        <v>215</v>
      </c>
      <c r="D969" s="2" t="s">
        <v>18</v>
      </c>
      <c r="E969" s="5">
        <v>-29229</v>
      </c>
      <c r="F969" s="3" t="s">
        <v>44</v>
      </c>
      <c r="G969" s="3" t="s">
        <v>28</v>
      </c>
      <c r="H969" s="2" t="s">
        <v>65</v>
      </c>
      <c r="I969" s="2" t="s">
        <v>2596</v>
      </c>
      <c r="J969" s="3" t="str">
        <f>HYPERLINK("https://www.boe.es/gazeta/dias/1819/12/21/pdfs/GMD-1819-156.pdf#page=8","Abrir facsímil")</f>
        <v>Abrir facsímil</v>
      </c>
      <c r="K969" s="3" t="s">
        <v>67</v>
      </c>
    </row>
    <row r="970" spans="1:11" ht="42" customHeight="1">
      <c r="A970" s="2" t="s">
        <v>2597</v>
      </c>
      <c r="B970" s="2" t="s">
        <v>2597</v>
      </c>
      <c r="C970" s="2" t="s">
        <v>59</v>
      </c>
      <c r="D970" s="2" t="s">
        <v>18</v>
      </c>
      <c r="E970" s="5">
        <v>-29568</v>
      </c>
      <c r="F970" s="3" t="s">
        <v>966</v>
      </c>
      <c r="G970" s="3" t="s">
        <v>296</v>
      </c>
      <c r="H970" s="2" t="s">
        <v>65</v>
      </c>
      <c r="I970" s="2" t="s">
        <v>2598</v>
      </c>
      <c r="J970" s="3" t="str">
        <f>HYPERLINK("https://www.boe.es/gazeta/dias/1819/01/16/pdfs/GMD-1819-7.pdf#page=4","Abrir facsímil")</f>
        <v>Abrir facsímil</v>
      </c>
      <c r="K970" s="3" t="s">
        <v>67</v>
      </c>
    </row>
    <row r="971" spans="1:11" ht="42" customHeight="1">
      <c r="A971" s="2" t="s">
        <v>2599</v>
      </c>
      <c r="B971" s="2" t="s">
        <v>2599</v>
      </c>
      <c r="C971" s="2" t="s">
        <v>59</v>
      </c>
      <c r="D971" s="2" t="s">
        <v>18</v>
      </c>
      <c r="E971" s="5">
        <v>-29264</v>
      </c>
      <c r="F971" s="3" t="s">
        <v>37</v>
      </c>
      <c r="G971" s="3" t="s">
        <v>1794</v>
      </c>
      <c r="H971" s="2" t="s">
        <v>65</v>
      </c>
      <c r="I971" s="2" t="s">
        <v>2600</v>
      </c>
      <c r="J971" s="3" t="str">
        <f>HYPERLINK("https://www.boe.es/gazeta/dias/1819/11/16/pdfs/GMD-1819-141.pdf#page=11","Abrir facsímil")</f>
        <v>Abrir facsímil</v>
      </c>
      <c r="K971" s="3" t="s">
        <v>67</v>
      </c>
    </row>
    <row r="972" spans="1:11" ht="42" customHeight="1">
      <c r="A972" s="2" t="s">
        <v>2601</v>
      </c>
      <c r="B972" s="2" t="s">
        <v>2601</v>
      </c>
      <c r="C972" s="2" t="s">
        <v>80</v>
      </c>
      <c r="D972" s="2" t="s">
        <v>81</v>
      </c>
      <c r="E972" s="5">
        <v>-29579</v>
      </c>
      <c r="F972" s="3" t="s">
        <v>186</v>
      </c>
      <c r="G972" s="3" t="s">
        <v>259</v>
      </c>
      <c r="H972" s="2" t="s">
        <v>65</v>
      </c>
      <c r="I972" s="2" t="s">
        <v>2602</v>
      </c>
      <c r="J972" s="3" t="str">
        <f>HYPERLINK("https://www.boe.es/gazeta/dias/1819/01/05/pdfs/GMD-1819-2.pdf#page=2","Abrir facsímil")</f>
        <v>Abrir facsímil</v>
      </c>
      <c r="K972" s="3" t="s">
        <v>67</v>
      </c>
    </row>
    <row r="973" spans="1:11" ht="42" customHeight="1">
      <c r="A973" s="2" t="s">
        <v>2603</v>
      </c>
      <c r="B973" s="2" t="s">
        <v>2604</v>
      </c>
      <c r="C973" s="2" t="s">
        <v>80</v>
      </c>
      <c r="D973" s="2" t="s">
        <v>81</v>
      </c>
      <c r="E973" s="5">
        <v>-29572</v>
      </c>
      <c r="F973" s="3" t="s">
        <v>589</v>
      </c>
      <c r="G973" s="3" t="s">
        <v>1252</v>
      </c>
      <c r="H973" s="2" t="s">
        <v>65</v>
      </c>
      <c r="I973" s="2" t="s">
        <v>2605</v>
      </c>
      <c r="J973" s="3" t="str">
        <f>HYPERLINK("https://www.boe.es/gazeta/dias/1819/01/12/pdfs/GMD-1819-5.pdf#page=2","Abrir facsímil")</f>
        <v>Abrir facsímil</v>
      </c>
      <c r="K973" s="3" t="s">
        <v>67</v>
      </c>
    </row>
    <row r="974" spans="1:11" ht="42" customHeight="1">
      <c r="A974" s="2" t="s">
        <v>2606</v>
      </c>
      <c r="B974" s="2" t="s">
        <v>2607</v>
      </c>
      <c r="C974" s="2" t="s">
        <v>59</v>
      </c>
      <c r="D974" s="2" t="s">
        <v>18</v>
      </c>
      <c r="E974" s="5">
        <v>-29276</v>
      </c>
      <c r="F974" s="3" t="s">
        <v>54</v>
      </c>
      <c r="G974" s="3" t="s">
        <v>55</v>
      </c>
      <c r="H974" s="2" t="s">
        <v>21</v>
      </c>
      <c r="I974" s="2" t="s">
        <v>2608</v>
      </c>
      <c r="J974" s="3" t="str">
        <f>HYPERLINK("https://www.boe.es/gazeta/dias/1819/11/04/pdfs/GMD-1819-136.pdf#page=7","Abrir facsímil")</f>
        <v>Abrir facsímil</v>
      </c>
      <c r="K974" s="3" t="s">
        <v>23</v>
      </c>
    </row>
    <row r="975" spans="1:11" ht="42" customHeight="1">
      <c r="A975" s="2" t="s">
        <v>2609</v>
      </c>
      <c r="B975" s="2" t="s">
        <v>2610</v>
      </c>
      <c r="C975" s="2" t="s">
        <v>17</v>
      </c>
      <c r="D975" s="2" t="s">
        <v>18</v>
      </c>
      <c r="E975" s="5">
        <v>-29264</v>
      </c>
      <c r="F975" s="3" t="s">
        <v>37</v>
      </c>
      <c r="G975" s="3" t="s">
        <v>33</v>
      </c>
      <c r="H975" s="2" t="s">
        <v>21</v>
      </c>
      <c r="I975" s="2" t="s">
        <v>2611</v>
      </c>
      <c r="J975" s="3" t="str">
        <f>HYPERLINK("https://www.boe.es/gazeta/dias/1819/11/16/pdfs/GMD-1819-141.pdf#page=6","Abrir facsímil")</f>
        <v>Abrir facsímil</v>
      </c>
      <c r="K975" s="3" t="s">
        <v>23</v>
      </c>
    </row>
    <row r="976" spans="1:11" ht="42" customHeight="1">
      <c r="A976" s="2" t="s">
        <v>2612</v>
      </c>
      <c r="B976" s="2" t="s">
        <v>2613</v>
      </c>
      <c r="C976" s="2" t="s">
        <v>59</v>
      </c>
      <c r="D976" s="2" t="s">
        <v>18</v>
      </c>
      <c r="E976" s="5">
        <v>-29428</v>
      </c>
      <c r="F976" s="3" t="s">
        <v>730</v>
      </c>
      <c r="G976" s="3" t="s">
        <v>33</v>
      </c>
      <c r="H976" s="2" t="s">
        <v>21</v>
      </c>
      <c r="I976" s="2" t="s">
        <v>2614</v>
      </c>
      <c r="J976" s="3" t="str">
        <f>HYPERLINK("https://www.boe.es/gazeta/dias/1819/06/05/pdfs/GMD-1819-67.pdf#page=6","Abrir facsímil")</f>
        <v>Abrir facsímil</v>
      </c>
      <c r="K976" s="3" t="s">
        <v>23</v>
      </c>
    </row>
    <row r="977" spans="1:11" ht="42" customHeight="1">
      <c r="A977" s="2" t="s">
        <v>2612</v>
      </c>
      <c r="B977" s="2" t="s">
        <v>2613</v>
      </c>
      <c r="C977" s="2" t="s">
        <v>80</v>
      </c>
      <c r="D977" s="2" t="s">
        <v>454</v>
      </c>
      <c r="E977" s="5">
        <v>-29324</v>
      </c>
      <c r="F977" s="3" t="s">
        <v>914</v>
      </c>
      <c r="G977" s="3" t="s">
        <v>102</v>
      </c>
      <c r="H977" s="2" t="s">
        <v>21</v>
      </c>
      <c r="I977" s="2" t="s">
        <v>2615</v>
      </c>
      <c r="J977" s="3" t="str">
        <f>HYPERLINK("https://www.boe.es/gazeta/dias/1819/09/17/pdfs/GMD-1819-114E.pdf#page=3","Abrir facsímil")</f>
        <v>Abrir facsímil</v>
      </c>
      <c r="K977" s="3" t="s">
        <v>23</v>
      </c>
    </row>
    <row r="978" spans="1:11" ht="42" customHeight="1">
      <c r="A978" s="2" t="s">
        <v>2616</v>
      </c>
      <c r="B978" s="2" t="s">
        <v>2617</v>
      </c>
      <c r="C978" s="2" t="s">
        <v>17</v>
      </c>
      <c r="D978" s="2" t="s">
        <v>18</v>
      </c>
      <c r="E978" s="5">
        <v>-29264</v>
      </c>
      <c r="F978" s="3" t="s">
        <v>37</v>
      </c>
      <c r="G978" s="3" t="s">
        <v>33</v>
      </c>
      <c r="H978" s="2" t="s">
        <v>21</v>
      </c>
      <c r="I978" s="2" t="s">
        <v>2618</v>
      </c>
      <c r="J978" s="3" t="str">
        <f>HYPERLINK("https://www.boe.es/gazeta/dias/1819/11/16/pdfs/GMD-1819-141.pdf#page=6","Abrir facsímil")</f>
        <v>Abrir facsímil</v>
      </c>
      <c r="K978" s="3" t="s">
        <v>23</v>
      </c>
    </row>
    <row r="979" spans="1:11" ht="42" customHeight="1">
      <c r="A979" s="2" t="s">
        <v>2619</v>
      </c>
      <c r="B979" s="2" t="s">
        <v>2620</v>
      </c>
      <c r="C979" s="2" t="s">
        <v>59</v>
      </c>
      <c r="D979" s="2" t="s">
        <v>18</v>
      </c>
      <c r="E979" s="5">
        <v>-29351</v>
      </c>
      <c r="F979" s="3" t="s">
        <v>101</v>
      </c>
      <c r="G979" s="3" t="s">
        <v>33</v>
      </c>
      <c r="H979" s="2" t="s">
        <v>21</v>
      </c>
      <c r="I979" s="2" t="s">
        <v>2621</v>
      </c>
      <c r="J979" s="3" t="str">
        <f>HYPERLINK("https://www.boe.es/gazeta/dias/1819/08/21/pdfs/GMD-1819-101.pdf#page=6","Abrir facsímil")</f>
        <v>Abrir facsímil</v>
      </c>
      <c r="K979" s="3" t="s">
        <v>23</v>
      </c>
    </row>
    <row r="980" spans="1:11" ht="42" customHeight="1">
      <c r="A980" s="2" t="s">
        <v>2622</v>
      </c>
      <c r="B980" s="2" t="s">
        <v>2623</v>
      </c>
      <c r="C980" s="2" t="s">
        <v>59</v>
      </c>
      <c r="D980" s="2" t="s">
        <v>18</v>
      </c>
      <c r="E980" s="5">
        <v>-29309</v>
      </c>
      <c r="F980" s="3" t="s">
        <v>476</v>
      </c>
      <c r="G980" s="3" t="s">
        <v>477</v>
      </c>
      <c r="H980" s="2" t="s">
        <v>21</v>
      </c>
      <c r="I980" s="2" t="s">
        <v>2624</v>
      </c>
      <c r="J980" s="3" t="str">
        <f>HYPERLINK("https://www.boe.es/gazeta/dias/1819/10/02/pdfs/GMD-1819-121.pdf#page=6","Abrir facsímil")</f>
        <v>Abrir facsímil</v>
      </c>
      <c r="K980" s="3" t="s">
        <v>23</v>
      </c>
    </row>
    <row r="981" spans="1:11" ht="42" customHeight="1">
      <c r="A981" s="2" t="s">
        <v>2625</v>
      </c>
      <c r="B981" s="2" t="s">
        <v>2626</v>
      </c>
      <c r="C981" s="2" t="s">
        <v>215</v>
      </c>
      <c r="D981" s="2" t="s">
        <v>18</v>
      </c>
      <c r="E981" s="5">
        <v>-29246</v>
      </c>
      <c r="F981" s="3" t="s">
        <v>494</v>
      </c>
      <c r="G981" s="3" t="s">
        <v>1726</v>
      </c>
      <c r="H981" s="2" t="s">
        <v>65</v>
      </c>
      <c r="I981" s="2" t="s">
        <v>2627</v>
      </c>
      <c r="J981" s="3" t="str">
        <f>HYPERLINK("https://www.boe.es/gazeta/dias/1819/12/04/pdfs/GMD-1819-149.pdf#page=7","Abrir facsímil")</f>
        <v>Abrir facsímil</v>
      </c>
      <c r="K981" s="3" t="s">
        <v>67</v>
      </c>
    </row>
    <row r="982" spans="1:11" ht="42" customHeight="1">
      <c r="A982" s="2" t="s">
        <v>2628</v>
      </c>
      <c r="B982" s="2" t="s">
        <v>2628</v>
      </c>
      <c r="C982" s="2" t="s">
        <v>63</v>
      </c>
      <c r="D982" s="2" t="s">
        <v>43</v>
      </c>
      <c r="E982" s="5">
        <v>-29463</v>
      </c>
      <c r="F982" s="3" t="s">
        <v>114</v>
      </c>
      <c r="G982" s="3" t="s">
        <v>296</v>
      </c>
      <c r="H982" s="2" t="s">
        <v>65</v>
      </c>
      <c r="I982" s="2" t="s">
        <v>2629</v>
      </c>
      <c r="J982" s="3" t="str">
        <f>HYPERLINK("https://www.boe.es/gazeta/dias/1819/05/01/pdfs/GMD-1819-52.pdf#page=4","Abrir facsímil")</f>
        <v>Abrir facsímil</v>
      </c>
      <c r="K982" s="3" t="s">
        <v>67</v>
      </c>
    </row>
    <row r="983" spans="1:11" ht="42" customHeight="1">
      <c r="A983" s="2" t="s">
        <v>2630</v>
      </c>
      <c r="B983" s="2" t="s">
        <v>2631</v>
      </c>
      <c r="C983" s="2" t="s">
        <v>26</v>
      </c>
      <c r="D983" s="2" t="s">
        <v>18</v>
      </c>
      <c r="E983" s="5">
        <v>-29540</v>
      </c>
      <c r="F983" s="3" t="s">
        <v>154</v>
      </c>
      <c r="G983" s="3" t="s">
        <v>28</v>
      </c>
      <c r="H983" s="2" t="s">
        <v>21</v>
      </c>
      <c r="I983" s="2" t="s">
        <v>2632</v>
      </c>
      <c r="J983" s="3" t="str">
        <f>HYPERLINK("https://www.boe.es/gazeta/dias/1819/02/13/pdfs/GMD-1819-19.pdf#page=8","Abrir facsímil")</f>
        <v>Abrir facsímil</v>
      </c>
      <c r="K983" s="3" t="s">
        <v>23</v>
      </c>
    </row>
    <row r="984" spans="1:11" ht="42" customHeight="1">
      <c r="A984" s="2" t="s">
        <v>2633</v>
      </c>
      <c r="B984" s="2" t="s">
        <v>2634</v>
      </c>
      <c r="C984" s="2" t="s">
        <v>80</v>
      </c>
      <c r="D984" s="2" t="s">
        <v>81</v>
      </c>
      <c r="E984" s="5">
        <v>-29479</v>
      </c>
      <c r="F984" s="3" t="s">
        <v>979</v>
      </c>
      <c r="G984" s="3" t="s">
        <v>28</v>
      </c>
      <c r="H984" s="2" t="s">
        <v>21</v>
      </c>
      <c r="I984" s="2" t="s">
        <v>2635</v>
      </c>
      <c r="J984" s="3" t="str">
        <f>HYPERLINK("https://www.boe.es/gazeta/dias/1819/04/15/pdfs/GMD-1819-45.pdf#page=8","Abrir facsímil")</f>
        <v>Abrir facsímil</v>
      </c>
      <c r="K984" s="3" t="s">
        <v>23</v>
      </c>
    </row>
    <row r="985" spans="1:11" ht="42" customHeight="1">
      <c r="A985" s="2" t="s">
        <v>2636</v>
      </c>
      <c r="B985" s="2" t="s">
        <v>2636</v>
      </c>
      <c r="C985" s="2" t="s">
        <v>63</v>
      </c>
      <c r="D985" s="2" t="s">
        <v>43</v>
      </c>
      <c r="E985" s="5">
        <v>-29477</v>
      </c>
      <c r="F985" s="3" t="s">
        <v>789</v>
      </c>
      <c r="G985" s="3" t="s">
        <v>102</v>
      </c>
      <c r="H985" s="2" t="s">
        <v>65</v>
      </c>
      <c r="I985" s="2" t="s">
        <v>2637</v>
      </c>
      <c r="J985" s="3" t="str">
        <f>HYPERLINK("https://www.boe.es/gazeta/dias/1819/04/17/pdfs/GMD-1819-46.pdf#page=3","Abrir facsímil")</f>
        <v>Abrir facsímil</v>
      </c>
      <c r="K985" s="3" t="s">
        <v>67</v>
      </c>
    </row>
    <row r="986" spans="1:11" ht="42" customHeight="1">
      <c r="A986" s="2" t="s">
        <v>2638</v>
      </c>
      <c r="B986" s="2" t="s">
        <v>2639</v>
      </c>
      <c r="C986" s="2" t="s">
        <v>80</v>
      </c>
      <c r="D986" s="2" t="s">
        <v>81</v>
      </c>
      <c r="E986" s="5">
        <v>-29255</v>
      </c>
      <c r="F986" s="3" t="s">
        <v>357</v>
      </c>
      <c r="G986" s="3" t="s">
        <v>38</v>
      </c>
      <c r="H986" s="2" t="s">
        <v>65</v>
      </c>
      <c r="I986" s="2" t="s">
        <v>2640</v>
      </c>
      <c r="J986" s="3" t="str">
        <f>HYPERLINK("https://www.boe.es/gazeta/dias/1819/11/25/pdfs/GMD-1819-145.pdf#page=5","Abrir facsímil")</f>
        <v>Abrir facsímil</v>
      </c>
      <c r="K986" s="3" t="s">
        <v>67</v>
      </c>
    </row>
    <row r="987" spans="1:11" ht="42" customHeight="1">
      <c r="A987" s="2" t="s">
        <v>2641</v>
      </c>
      <c r="B987" s="2" t="s">
        <v>2641</v>
      </c>
      <c r="C987" s="2" t="s">
        <v>80</v>
      </c>
      <c r="D987" s="2" t="s">
        <v>81</v>
      </c>
      <c r="E987" s="5">
        <v>-29325</v>
      </c>
      <c r="F987" s="3" t="s">
        <v>174</v>
      </c>
      <c r="G987" s="3" t="s">
        <v>259</v>
      </c>
      <c r="H987" s="2" t="s">
        <v>65</v>
      </c>
      <c r="I987" s="2" t="s">
        <v>2642</v>
      </c>
      <c r="J987" s="3" t="str">
        <f>HYPERLINK("https://www.boe.es/gazeta/dias/1819/09/16/pdfs/GMD-1819-113.pdf#page=2","Abrir facsímil")</f>
        <v>Abrir facsímil</v>
      </c>
      <c r="K987" s="3" t="s">
        <v>67</v>
      </c>
    </row>
    <row r="988" spans="1:11" ht="42" customHeight="1">
      <c r="A988" s="2" t="s">
        <v>2643</v>
      </c>
      <c r="B988" s="2" t="s">
        <v>2644</v>
      </c>
      <c r="C988" s="2" t="s">
        <v>59</v>
      </c>
      <c r="D988" s="2" t="s">
        <v>18</v>
      </c>
      <c r="E988" s="5">
        <v>-29355</v>
      </c>
      <c r="F988" s="3" t="s">
        <v>347</v>
      </c>
      <c r="G988" s="3" t="s">
        <v>348</v>
      </c>
      <c r="H988" s="2" t="s">
        <v>65</v>
      </c>
      <c r="I988" s="2" t="s">
        <v>2645</v>
      </c>
      <c r="J988" s="3" t="str">
        <f>HYPERLINK("https://www.boe.es/gazeta/dias/1819/08/17/pdfs/GMD-1819-99.pdf#page=6","Abrir facsímil")</f>
        <v>Abrir facsímil</v>
      </c>
      <c r="K988" s="3" t="s">
        <v>67</v>
      </c>
    </row>
    <row r="989" spans="1:11" ht="42" customHeight="1">
      <c r="A989" s="2" t="s">
        <v>2646</v>
      </c>
      <c r="B989" s="2" t="s">
        <v>2647</v>
      </c>
      <c r="C989" s="2" t="s">
        <v>80</v>
      </c>
      <c r="D989" s="2" t="s">
        <v>81</v>
      </c>
      <c r="E989" s="5">
        <v>-29297</v>
      </c>
      <c r="F989" s="3" t="s">
        <v>82</v>
      </c>
      <c r="G989" s="3" t="s">
        <v>55</v>
      </c>
      <c r="H989" s="2" t="s">
        <v>65</v>
      </c>
      <c r="I989" s="2" t="s">
        <v>2648</v>
      </c>
      <c r="J989" s="3" t="str">
        <f>HYPERLINK("https://www.boe.es/gazeta/dias/1819/10/14/pdfs/GMD-1819-126.pdf#page=7","Abrir facsímil")</f>
        <v>Abrir facsímil</v>
      </c>
      <c r="K989" s="3" t="s">
        <v>67</v>
      </c>
    </row>
    <row r="990" spans="1:11" ht="42" customHeight="1">
      <c r="A990" s="2" t="s">
        <v>2649</v>
      </c>
      <c r="B990" s="2" t="s">
        <v>2649</v>
      </c>
      <c r="C990" s="2" t="s">
        <v>63</v>
      </c>
      <c r="D990" s="2" t="s">
        <v>43</v>
      </c>
      <c r="E990" s="5">
        <v>-29458</v>
      </c>
      <c r="F990" s="3" t="s">
        <v>766</v>
      </c>
      <c r="G990" s="3" t="s">
        <v>239</v>
      </c>
      <c r="H990" s="2" t="s">
        <v>65</v>
      </c>
      <c r="I990" s="2" t="s">
        <v>2650</v>
      </c>
      <c r="J990" s="3" t="str">
        <f>HYPERLINK("https://www.boe.es/gazeta/dias/1819/05/06/pdfs/GMD-1819-54.pdf#page=1","Abrir facsímil")</f>
        <v>Abrir facsímil</v>
      </c>
      <c r="K990" s="3" t="s">
        <v>67</v>
      </c>
    </row>
    <row r="991" spans="1:11" ht="42" customHeight="1">
      <c r="A991" s="2" t="s">
        <v>2649</v>
      </c>
      <c r="B991" s="2" t="s">
        <v>2649</v>
      </c>
      <c r="C991" s="2" t="s">
        <v>80</v>
      </c>
      <c r="D991" s="2" t="s">
        <v>81</v>
      </c>
      <c r="E991" s="5">
        <v>-29248</v>
      </c>
      <c r="F991" s="3" t="s">
        <v>395</v>
      </c>
      <c r="G991" s="3" t="s">
        <v>296</v>
      </c>
      <c r="H991" s="2" t="s">
        <v>65</v>
      </c>
      <c r="I991" s="2" t="s">
        <v>2651</v>
      </c>
      <c r="J991" s="3" t="str">
        <f>HYPERLINK("https://www.boe.es/gazeta/dias/1819/12/02/pdfs/GMD-1819-148.pdf#page=4","Abrir facsímil")</f>
        <v>Abrir facsímil</v>
      </c>
      <c r="K991" s="3" t="s">
        <v>67</v>
      </c>
    </row>
    <row r="992" spans="1:11" ht="42" customHeight="1">
      <c r="A992" s="2" t="s">
        <v>2649</v>
      </c>
      <c r="B992" s="2" t="s">
        <v>2649</v>
      </c>
      <c r="C992" s="2" t="s">
        <v>59</v>
      </c>
      <c r="D992" s="2" t="s">
        <v>18</v>
      </c>
      <c r="E992" s="5">
        <v>-29234</v>
      </c>
      <c r="F992" s="3" t="s">
        <v>343</v>
      </c>
      <c r="G992" s="3" t="s">
        <v>102</v>
      </c>
      <c r="H992" s="2" t="s">
        <v>65</v>
      </c>
      <c r="I992" s="2" t="s">
        <v>2652</v>
      </c>
      <c r="J992" s="3" t="str">
        <f>HYPERLINK("https://www.boe.es/gazeta/dias/1819/12/16/pdfs/GMD-1819-154.pdf#page=3","Abrir facsímil")</f>
        <v>Abrir facsímil</v>
      </c>
      <c r="K992" s="3" t="s">
        <v>67</v>
      </c>
    </row>
    <row r="993" spans="1:11" ht="42" customHeight="1">
      <c r="A993" s="2" t="s">
        <v>2653</v>
      </c>
      <c r="B993" s="2" t="s">
        <v>2653</v>
      </c>
      <c r="C993" s="2" t="s">
        <v>80</v>
      </c>
      <c r="D993" s="2" t="s">
        <v>81</v>
      </c>
      <c r="E993" s="5">
        <v>-29570</v>
      </c>
      <c r="F993" s="3" t="s">
        <v>2008</v>
      </c>
      <c r="G993" s="3" t="s">
        <v>38</v>
      </c>
      <c r="H993" s="2" t="s">
        <v>65</v>
      </c>
      <c r="I993" s="2" t="s">
        <v>2654</v>
      </c>
      <c r="J993" s="3" t="str">
        <f>HYPERLINK("https://www.boe.es/gazeta/dias/1819/01/14/pdfs/GMD-1819-6.pdf#page=5","Abrir facsímil")</f>
        <v>Abrir facsímil</v>
      </c>
      <c r="K993" s="3" t="s">
        <v>67</v>
      </c>
    </row>
    <row r="994" spans="1:11" ht="42" customHeight="1">
      <c r="A994" s="2" t="s">
        <v>2655</v>
      </c>
      <c r="B994" s="2" t="s">
        <v>2655</v>
      </c>
      <c r="C994" s="2" t="s">
        <v>63</v>
      </c>
      <c r="D994" s="2" t="s">
        <v>43</v>
      </c>
      <c r="E994" s="5">
        <v>-29446</v>
      </c>
      <c r="F994" s="3" t="s">
        <v>773</v>
      </c>
      <c r="G994" s="3" t="s">
        <v>296</v>
      </c>
      <c r="H994" s="2" t="s">
        <v>65</v>
      </c>
      <c r="I994" s="2" t="s">
        <v>2656</v>
      </c>
      <c r="J994" s="3" t="str">
        <f>HYPERLINK("https://www.boe.es/gazeta/dias/1819/05/18/pdfs/GMD-1819-59.pdf#page=4","Abrir facsímil")</f>
        <v>Abrir facsímil</v>
      </c>
      <c r="K994" s="3" t="s">
        <v>67</v>
      </c>
    </row>
    <row r="995" spans="1:11" ht="42" customHeight="1">
      <c r="A995" s="2" t="s">
        <v>2657</v>
      </c>
      <c r="B995" s="2" t="s">
        <v>2657</v>
      </c>
      <c r="C995" s="2" t="s">
        <v>80</v>
      </c>
      <c r="D995" s="2" t="s">
        <v>81</v>
      </c>
      <c r="E995" s="5">
        <v>-29502</v>
      </c>
      <c r="F995" s="3" t="s">
        <v>86</v>
      </c>
      <c r="G995" s="3" t="s">
        <v>2658</v>
      </c>
      <c r="H995" s="2" t="s">
        <v>65</v>
      </c>
      <c r="I995" s="2" t="s">
        <v>2659</v>
      </c>
      <c r="J995" s="3" t="str">
        <f>HYPERLINK("https://www.boe.es/gazeta/dias/1819/03/23/pdfs/GMD-1819-35.pdf#page=4","Abrir facsímil")</f>
        <v>Abrir facsímil</v>
      </c>
      <c r="K995" s="3" t="s">
        <v>67</v>
      </c>
    </row>
    <row r="996" spans="1:11" ht="42" customHeight="1">
      <c r="A996" s="2" t="s">
        <v>2660</v>
      </c>
      <c r="B996" s="2" t="s">
        <v>2660</v>
      </c>
      <c r="C996" s="2" t="s">
        <v>80</v>
      </c>
      <c r="D996" s="2" t="s">
        <v>81</v>
      </c>
      <c r="E996" s="5">
        <v>-29463</v>
      </c>
      <c r="F996" s="3" t="s">
        <v>114</v>
      </c>
      <c r="G996" s="3" t="s">
        <v>296</v>
      </c>
      <c r="H996" s="2" t="s">
        <v>65</v>
      </c>
      <c r="I996" s="2" t="s">
        <v>2661</v>
      </c>
      <c r="J996" s="3" t="str">
        <f>HYPERLINK("https://www.boe.es/gazeta/dias/1819/05/01/pdfs/GMD-1819-52.pdf#page=4","Abrir facsímil")</f>
        <v>Abrir facsímil</v>
      </c>
      <c r="K996" s="3" t="s">
        <v>67</v>
      </c>
    </row>
    <row r="997" spans="1:11" ht="42" customHeight="1">
      <c r="A997" s="2" t="s">
        <v>2662</v>
      </c>
      <c r="B997" s="2" t="s">
        <v>2663</v>
      </c>
      <c r="C997" s="2" t="s">
        <v>80</v>
      </c>
      <c r="D997" s="2" t="s">
        <v>81</v>
      </c>
      <c r="E997" s="5">
        <v>-29463</v>
      </c>
      <c r="F997" s="3" t="s">
        <v>114</v>
      </c>
      <c r="G997" s="3" t="s">
        <v>296</v>
      </c>
      <c r="H997" s="2" t="s">
        <v>65</v>
      </c>
      <c r="I997" s="2" t="s">
        <v>2664</v>
      </c>
      <c r="J997" s="3" t="str">
        <f>HYPERLINK("https://www.boe.es/gazeta/dias/1819/05/01/pdfs/GMD-1819-52.pdf#page=4","Abrir facsímil")</f>
        <v>Abrir facsímil</v>
      </c>
      <c r="K997" s="3" t="s">
        <v>67</v>
      </c>
    </row>
    <row r="998" spans="1:11" ht="42" customHeight="1">
      <c r="A998" s="2" t="s">
        <v>2665</v>
      </c>
      <c r="B998" s="2" t="s">
        <v>2665</v>
      </c>
      <c r="C998" s="2" t="s">
        <v>80</v>
      </c>
      <c r="D998" s="2" t="s">
        <v>81</v>
      </c>
      <c r="E998" s="5">
        <v>-29537</v>
      </c>
      <c r="F998" s="3" t="s">
        <v>593</v>
      </c>
      <c r="G998" s="3" t="s">
        <v>296</v>
      </c>
      <c r="H998" s="2" t="s">
        <v>65</v>
      </c>
      <c r="I998" s="2" t="s">
        <v>2666</v>
      </c>
      <c r="J998" s="3" t="str">
        <f>HYPERLINK("https://www.boe.es/gazeta/dias/1819/02/16/pdfs/GMD-1819-20.pdf#page=4","Abrir facsímil")</f>
        <v>Abrir facsímil</v>
      </c>
      <c r="K998" s="3" t="s">
        <v>67</v>
      </c>
    </row>
    <row r="999" spans="1:11" ht="42" customHeight="1">
      <c r="A999" s="2" t="s">
        <v>2665</v>
      </c>
      <c r="B999" s="2" t="s">
        <v>2665</v>
      </c>
      <c r="C999" s="2" t="s">
        <v>80</v>
      </c>
      <c r="D999" s="2" t="s">
        <v>81</v>
      </c>
      <c r="E999" s="5">
        <v>-29463</v>
      </c>
      <c r="F999" s="3" t="s">
        <v>114</v>
      </c>
      <c r="G999" s="3" t="s">
        <v>296</v>
      </c>
      <c r="H999" s="2" t="s">
        <v>65</v>
      </c>
      <c r="I999" s="2" t="s">
        <v>2667</v>
      </c>
      <c r="J999" s="3" t="str">
        <f>HYPERLINK("https://www.boe.es/gazeta/dias/1819/05/01/pdfs/GMD-1819-52.pdf#page=4","Abrir facsímil")</f>
        <v>Abrir facsímil</v>
      </c>
      <c r="K999" s="3" t="s">
        <v>67</v>
      </c>
    </row>
    <row r="1000" spans="1:11" ht="42" customHeight="1">
      <c r="A1000" s="2" t="s">
        <v>2668</v>
      </c>
      <c r="B1000" s="2" t="s">
        <v>2669</v>
      </c>
      <c r="C1000" s="2" t="s">
        <v>80</v>
      </c>
      <c r="D1000" s="2" t="s">
        <v>81</v>
      </c>
      <c r="E1000" s="5">
        <v>-29257</v>
      </c>
      <c r="F1000" s="3" t="s">
        <v>73</v>
      </c>
      <c r="G1000" s="3" t="s">
        <v>826</v>
      </c>
      <c r="H1000" s="2" t="s">
        <v>65</v>
      </c>
      <c r="I1000" s="2" t="s">
        <v>2670</v>
      </c>
      <c r="J1000" s="3" t="str">
        <f>HYPERLINK("https://www.boe.es/gazeta/dias/1819/11/23/pdfs/GMD-1819-144.pdf#page=11","Abrir facsímil")</f>
        <v>Abrir facsímil</v>
      </c>
      <c r="K1000" s="3" t="s">
        <v>67</v>
      </c>
    </row>
    <row r="1001" spans="1:11" ht="42" customHeight="1">
      <c r="A1001" s="2" t="s">
        <v>2671</v>
      </c>
      <c r="B1001" s="2" t="s">
        <v>2672</v>
      </c>
      <c r="C1001" s="2" t="s">
        <v>80</v>
      </c>
      <c r="D1001" s="2" t="s">
        <v>81</v>
      </c>
      <c r="E1001" s="5">
        <v>-29269</v>
      </c>
      <c r="F1001" s="3" t="s">
        <v>565</v>
      </c>
      <c r="G1001" s="3" t="s">
        <v>38</v>
      </c>
      <c r="H1001" s="2" t="s">
        <v>65</v>
      </c>
      <c r="I1001" s="2" t="s">
        <v>2673</v>
      </c>
      <c r="J1001" s="3" t="str">
        <f>HYPERLINK("https://www.boe.es/gazeta/dias/1819/11/11/pdfs/GMD-1819-139.pdf#page=5","Abrir facsímil")</f>
        <v>Abrir facsímil</v>
      </c>
      <c r="K1001" s="3" t="s">
        <v>67</v>
      </c>
    </row>
    <row r="1002" spans="1:11" ht="42" customHeight="1">
      <c r="A1002" s="2" t="s">
        <v>2671</v>
      </c>
      <c r="B1002" s="2" t="s">
        <v>2672</v>
      </c>
      <c r="C1002" s="2" t="s">
        <v>80</v>
      </c>
      <c r="D1002" s="2" t="s">
        <v>81</v>
      </c>
      <c r="E1002" s="5">
        <v>-29248</v>
      </c>
      <c r="F1002" s="3" t="s">
        <v>395</v>
      </c>
      <c r="G1002" s="3" t="s">
        <v>1179</v>
      </c>
      <c r="H1002" s="2" t="s">
        <v>65</v>
      </c>
      <c r="I1002" s="2" t="s">
        <v>2674</v>
      </c>
      <c r="J1002" s="3" t="str">
        <f>HYPERLINK("https://www.boe.es/gazeta/dias/1819/12/02/pdfs/GMD-1819-148.pdf#page=10","Abrir facsímil")</f>
        <v>Abrir facsímil</v>
      </c>
      <c r="K1002" s="3" t="s">
        <v>67</v>
      </c>
    </row>
    <row r="1003" spans="1:11" ht="42" customHeight="1">
      <c r="A1003" s="2" t="s">
        <v>2675</v>
      </c>
      <c r="B1003" s="2" t="s">
        <v>2676</v>
      </c>
      <c r="C1003" s="2" t="s">
        <v>136</v>
      </c>
      <c r="D1003" s="2" t="s">
        <v>18</v>
      </c>
      <c r="E1003" s="5">
        <v>-29563</v>
      </c>
      <c r="F1003" s="3" t="s">
        <v>1087</v>
      </c>
      <c r="G1003" s="3" t="s">
        <v>33</v>
      </c>
      <c r="H1003" s="2" t="s">
        <v>21</v>
      </c>
      <c r="I1003" s="2" t="s">
        <v>2677</v>
      </c>
      <c r="J1003" s="3" t="str">
        <f>HYPERLINK("https://www.boe.es/gazeta/dias/1819/01/21/pdfs/GMD-1819-9.pdf#page=6","Abrir facsímil")</f>
        <v>Abrir facsímil</v>
      </c>
      <c r="K1003" s="3" t="s">
        <v>23</v>
      </c>
    </row>
    <row r="1004" spans="1:11" ht="42" customHeight="1">
      <c r="A1004" s="2" t="s">
        <v>2678</v>
      </c>
      <c r="B1004" s="2" t="s">
        <v>2679</v>
      </c>
      <c r="C1004" s="2" t="s">
        <v>26</v>
      </c>
      <c r="D1004" s="2" t="s">
        <v>18</v>
      </c>
      <c r="E1004" s="5">
        <v>-29579</v>
      </c>
      <c r="F1004" s="3" t="s">
        <v>186</v>
      </c>
      <c r="G1004" s="3" t="s">
        <v>2680</v>
      </c>
      <c r="H1004" s="2" t="s">
        <v>21</v>
      </c>
      <c r="I1004" s="2" t="s">
        <v>2681</v>
      </c>
      <c r="J1004" s="3" t="str">
        <f>HYPERLINK("https://www.boe.es/gazeta/dias/1819/01/05/pdfs/GMD-1819-2.pdf#page=8","Abrir facsímil")</f>
        <v>Abrir facsímil</v>
      </c>
      <c r="K1004" s="3" t="s">
        <v>23</v>
      </c>
    </row>
    <row r="1005" spans="1:11" ht="42" customHeight="1">
      <c r="A1005" s="2" t="s">
        <v>2682</v>
      </c>
      <c r="B1005" s="2" t="s">
        <v>2683</v>
      </c>
      <c r="C1005" s="2" t="s">
        <v>80</v>
      </c>
      <c r="D1005" s="2" t="s">
        <v>81</v>
      </c>
      <c r="E1005" s="5">
        <v>-29281</v>
      </c>
      <c r="F1005" s="3" t="s">
        <v>19</v>
      </c>
      <c r="G1005" s="3" t="s">
        <v>28</v>
      </c>
      <c r="H1005" s="2" t="s">
        <v>65</v>
      </c>
      <c r="I1005" s="2" t="s">
        <v>2684</v>
      </c>
      <c r="J1005" s="3" t="str">
        <f>HYPERLINK("https://www.boe.es/gazeta/dias/1819/10/30/pdfs/GMD-1819-134.pdf#page=8","Abrir facsímil")</f>
        <v>Abrir facsímil</v>
      </c>
      <c r="K1005" s="3" t="s">
        <v>67</v>
      </c>
    </row>
    <row r="1006" spans="1:11" ht="42" customHeight="1">
      <c r="A1006" s="2" t="s">
        <v>2685</v>
      </c>
      <c r="B1006" s="2" t="s">
        <v>2685</v>
      </c>
      <c r="C1006" s="2" t="s">
        <v>59</v>
      </c>
      <c r="D1006" s="2" t="s">
        <v>18</v>
      </c>
      <c r="E1006" s="5">
        <v>-29236</v>
      </c>
      <c r="F1006" s="3" t="s">
        <v>379</v>
      </c>
      <c r="G1006" s="3" t="s">
        <v>380</v>
      </c>
      <c r="H1006" s="2" t="s">
        <v>65</v>
      </c>
      <c r="I1006" s="2" t="s">
        <v>2686</v>
      </c>
      <c r="J1006" s="3" t="str">
        <f>HYPERLINK("https://www.boe.es/gazeta/dias/1819/12/14/pdfs/GMD-1819-153.pdf#page=4","Abrir facsímil")</f>
        <v>Abrir facsímil</v>
      </c>
      <c r="K1006" s="3" t="s">
        <v>67</v>
      </c>
    </row>
    <row r="1007" spans="1:11" ht="42" customHeight="1">
      <c r="A1007" s="2" t="s">
        <v>2687</v>
      </c>
      <c r="B1007" s="2" t="s">
        <v>2687</v>
      </c>
      <c r="C1007" s="2" t="s">
        <v>59</v>
      </c>
      <c r="D1007" s="2" t="s">
        <v>18</v>
      </c>
      <c r="E1007" s="5">
        <v>-29432</v>
      </c>
      <c r="F1007" s="3" t="s">
        <v>1967</v>
      </c>
      <c r="G1007" s="3" t="s">
        <v>38</v>
      </c>
      <c r="H1007" s="2" t="s">
        <v>65</v>
      </c>
      <c r="I1007" s="2" t="s">
        <v>2688</v>
      </c>
      <c r="J1007" s="3" t="str">
        <f>HYPERLINK("https://www.boe.es/gazeta/dias/1819/06/01/pdfs/GMD-1819-65.pdf#page=5","Abrir facsímil")</f>
        <v>Abrir facsímil</v>
      </c>
      <c r="K1007" s="3" t="s">
        <v>67</v>
      </c>
    </row>
    <row r="1008" spans="1:11" ht="42" customHeight="1">
      <c r="A1008" s="2" t="s">
        <v>2689</v>
      </c>
      <c r="B1008" s="2" t="s">
        <v>2689</v>
      </c>
      <c r="C1008" s="2" t="s">
        <v>63</v>
      </c>
      <c r="D1008" s="2" t="s">
        <v>43</v>
      </c>
      <c r="E1008" s="5">
        <v>-29568</v>
      </c>
      <c r="F1008" s="3" t="s">
        <v>966</v>
      </c>
      <c r="G1008" s="3" t="s">
        <v>296</v>
      </c>
      <c r="H1008" s="2" t="s">
        <v>65</v>
      </c>
      <c r="I1008" s="2" t="s">
        <v>2690</v>
      </c>
      <c r="J1008" s="3" t="str">
        <f>HYPERLINK("https://www.boe.es/gazeta/dias/1819/01/16/pdfs/GMD-1819-7.pdf#page=4","Abrir facsímil")</f>
        <v>Abrir facsímil</v>
      </c>
      <c r="K1008" s="3" t="s">
        <v>67</v>
      </c>
    </row>
    <row r="1009" spans="1:11" ht="42" customHeight="1">
      <c r="A1009" s="2" t="s">
        <v>2691</v>
      </c>
      <c r="B1009" s="2" t="s">
        <v>2692</v>
      </c>
      <c r="C1009" s="2" t="s">
        <v>80</v>
      </c>
      <c r="D1009" s="2" t="s">
        <v>81</v>
      </c>
      <c r="E1009" s="5">
        <v>-29568</v>
      </c>
      <c r="F1009" s="3" t="s">
        <v>966</v>
      </c>
      <c r="G1009" s="3" t="s">
        <v>38</v>
      </c>
      <c r="H1009" s="2" t="s">
        <v>65</v>
      </c>
      <c r="I1009" s="2" t="s">
        <v>2693</v>
      </c>
      <c r="J1009" s="3" t="str">
        <f>HYPERLINK("https://www.boe.es/gazeta/dias/1819/01/16/pdfs/GMD-1819-7.pdf#page=5","Abrir facsímil")</f>
        <v>Abrir facsímil</v>
      </c>
      <c r="K1009" s="3" t="s">
        <v>67</v>
      </c>
    </row>
    <row r="1010" spans="1:11" ht="42" customHeight="1">
      <c r="A1010" s="2" t="s">
        <v>2691</v>
      </c>
      <c r="B1010" s="2" t="s">
        <v>2692</v>
      </c>
      <c r="C1010" s="2" t="s">
        <v>80</v>
      </c>
      <c r="D1010" s="2" t="s">
        <v>81</v>
      </c>
      <c r="E1010" s="5">
        <v>-29220</v>
      </c>
      <c r="F1010" s="3" t="s">
        <v>397</v>
      </c>
      <c r="G1010" s="3" t="s">
        <v>38</v>
      </c>
      <c r="H1010" s="2" t="s">
        <v>65</v>
      </c>
      <c r="I1010" s="2" t="s">
        <v>2694</v>
      </c>
      <c r="J1010" s="3" t="str">
        <f>HYPERLINK("https://www.boe.es/gazeta/dias/1819/12/30/pdfs/GMD-1819-160.pdf#page=5","Abrir facsímil")</f>
        <v>Abrir facsímil</v>
      </c>
      <c r="K1010" s="3" t="s">
        <v>67</v>
      </c>
    </row>
    <row r="1011" spans="1:11" ht="42" customHeight="1">
      <c r="A1011" s="2" t="s">
        <v>2691</v>
      </c>
      <c r="B1011" s="2" t="s">
        <v>2692</v>
      </c>
      <c r="C1011" s="2" t="s">
        <v>80</v>
      </c>
      <c r="D1011" s="2" t="s">
        <v>81</v>
      </c>
      <c r="E1011" s="5">
        <v>-29220</v>
      </c>
      <c r="F1011" s="3" t="s">
        <v>397</v>
      </c>
      <c r="G1011" s="3" t="s">
        <v>33</v>
      </c>
      <c r="H1011" s="2" t="s">
        <v>65</v>
      </c>
      <c r="I1011" s="2" t="s">
        <v>2695</v>
      </c>
      <c r="J1011" s="3" t="str">
        <f>HYPERLINK("https://www.boe.es/gazeta/dias/1819/12/30/pdfs/GMD-1819-160.pdf#page=6","Abrir facsímil")</f>
        <v>Abrir facsímil</v>
      </c>
      <c r="K1011" s="3" t="s">
        <v>67</v>
      </c>
    </row>
    <row r="1012" spans="1:11" ht="42" customHeight="1">
      <c r="A1012" s="2" t="s">
        <v>2696</v>
      </c>
      <c r="B1012" s="2" t="s">
        <v>2696</v>
      </c>
      <c r="C1012" s="2" t="s">
        <v>80</v>
      </c>
      <c r="D1012" s="2" t="s">
        <v>81</v>
      </c>
      <c r="E1012" s="5">
        <v>-29563</v>
      </c>
      <c r="F1012" s="3" t="s">
        <v>1087</v>
      </c>
      <c r="G1012" s="3" t="s">
        <v>55</v>
      </c>
      <c r="H1012" s="2" t="s">
        <v>65</v>
      </c>
      <c r="I1012" s="2" t="s">
        <v>2697</v>
      </c>
      <c r="J1012" s="3" t="str">
        <f>HYPERLINK("https://www.boe.es/gazeta/dias/1819/01/21/pdfs/GMD-1819-9.pdf#page=7","Abrir facsímil")</f>
        <v>Abrir facsímil</v>
      </c>
      <c r="K1012" s="3" t="s">
        <v>67</v>
      </c>
    </row>
    <row r="1013" spans="1:11" ht="42" customHeight="1">
      <c r="A1013" s="2" t="s">
        <v>2698</v>
      </c>
      <c r="B1013" s="2" t="s">
        <v>2699</v>
      </c>
      <c r="C1013" s="2" t="s">
        <v>136</v>
      </c>
      <c r="D1013" s="2" t="s">
        <v>18</v>
      </c>
      <c r="E1013" s="5">
        <v>-29537</v>
      </c>
      <c r="F1013" s="3" t="s">
        <v>593</v>
      </c>
      <c r="G1013" s="3" t="s">
        <v>55</v>
      </c>
      <c r="H1013" s="2" t="s">
        <v>65</v>
      </c>
      <c r="I1013" s="2" t="s">
        <v>2700</v>
      </c>
      <c r="J1013" s="3" t="str">
        <f>HYPERLINK("https://www.boe.es/gazeta/dias/1819/02/16/pdfs/GMD-1819-20.pdf#page=7","Abrir facsímil")</f>
        <v>Abrir facsímil</v>
      </c>
      <c r="K1013" s="3" t="s">
        <v>67</v>
      </c>
    </row>
    <row r="1014" spans="1:11" ht="42" customHeight="1">
      <c r="A1014" s="2" t="s">
        <v>2701</v>
      </c>
      <c r="B1014" s="2" t="s">
        <v>2702</v>
      </c>
      <c r="C1014" s="2" t="s">
        <v>80</v>
      </c>
      <c r="D1014" s="2" t="s">
        <v>81</v>
      </c>
      <c r="E1014" s="5">
        <v>-29369</v>
      </c>
      <c r="F1014" s="3" t="s">
        <v>231</v>
      </c>
      <c r="G1014" s="3" t="s">
        <v>232</v>
      </c>
      <c r="H1014" s="2" t="s">
        <v>65</v>
      </c>
      <c r="I1014" s="2" t="s">
        <v>2703</v>
      </c>
      <c r="J1014" s="3" t="str">
        <f>HYPERLINK("https://www.boe.es/gazeta/dias/1819/08/03/pdfs/GMD-1819-93.pdf#page=5","Abrir facsímil")</f>
        <v>Abrir facsímil</v>
      </c>
      <c r="K1014" s="3" t="s">
        <v>67</v>
      </c>
    </row>
    <row r="1015" spans="1:11" ht="42" customHeight="1">
      <c r="A1015" s="2" t="s">
        <v>2704</v>
      </c>
      <c r="B1015" s="2" t="s">
        <v>2705</v>
      </c>
      <c r="C1015" s="2" t="s">
        <v>26</v>
      </c>
      <c r="D1015" s="2" t="s">
        <v>18</v>
      </c>
      <c r="E1015" s="5">
        <v>-29465</v>
      </c>
      <c r="F1015" s="3" t="s">
        <v>1934</v>
      </c>
      <c r="G1015" s="3" t="s">
        <v>28</v>
      </c>
      <c r="H1015" s="2" t="s">
        <v>65</v>
      </c>
      <c r="I1015" s="2" t="s">
        <v>2706</v>
      </c>
      <c r="J1015" s="3" t="str">
        <f>HYPERLINK("https://www.boe.es/gazeta/dias/1819/04/29/pdfs/GMD-1819-51.pdf#page=8","Abrir facsímil")</f>
        <v>Abrir facsímil</v>
      </c>
      <c r="K1015" s="3" t="s">
        <v>67</v>
      </c>
    </row>
    <row r="1016" spans="1:11" ht="42" customHeight="1">
      <c r="A1016" s="2" t="s">
        <v>2707</v>
      </c>
      <c r="B1016" s="2" t="s">
        <v>2708</v>
      </c>
      <c r="C1016" s="2" t="s">
        <v>80</v>
      </c>
      <c r="D1016" s="2" t="s">
        <v>81</v>
      </c>
      <c r="E1016" s="5">
        <v>-29535</v>
      </c>
      <c r="F1016" s="3" t="s">
        <v>200</v>
      </c>
      <c r="G1016" s="3" t="s">
        <v>38</v>
      </c>
      <c r="H1016" s="2" t="s">
        <v>65</v>
      </c>
      <c r="I1016" s="2" t="s">
        <v>2709</v>
      </c>
      <c r="J1016" s="3" t="str">
        <f>HYPERLINK("https://www.boe.es/gazeta/dias/1819/02/18/pdfs/GMD-1819-21.pdf#page=5","Abrir facsímil")</f>
        <v>Abrir facsímil</v>
      </c>
      <c r="K1016" s="3" t="s">
        <v>67</v>
      </c>
    </row>
    <row r="1017" spans="1:11" ht="42" customHeight="1">
      <c r="A1017" s="2" t="s">
        <v>2710</v>
      </c>
      <c r="B1017" s="2" t="s">
        <v>2711</v>
      </c>
      <c r="C1017" s="2" t="s">
        <v>59</v>
      </c>
      <c r="D1017" s="2" t="s">
        <v>18</v>
      </c>
      <c r="E1017" s="5">
        <v>-29365</v>
      </c>
      <c r="F1017" s="3" t="s">
        <v>218</v>
      </c>
      <c r="G1017" s="3" t="s">
        <v>38</v>
      </c>
      <c r="H1017" s="2" t="s">
        <v>65</v>
      </c>
      <c r="I1017" s="2" t="s">
        <v>2712</v>
      </c>
      <c r="J1017" s="3" t="str">
        <f>HYPERLINK("https://www.boe.es/gazeta/dias/1819/08/07/pdfs/GMD-1819-95.pdf#page=5","Abrir facsímil")</f>
        <v>Abrir facsímil</v>
      </c>
      <c r="K1017" s="3" t="s">
        <v>67</v>
      </c>
    </row>
    <row r="1018" spans="1:11" ht="42" customHeight="1">
      <c r="A1018" s="2" t="s">
        <v>2713</v>
      </c>
      <c r="B1018" s="2" t="s">
        <v>2714</v>
      </c>
      <c r="C1018" s="2" t="s">
        <v>80</v>
      </c>
      <c r="D1018" s="2" t="s">
        <v>81</v>
      </c>
      <c r="E1018" s="5">
        <v>-29470</v>
      </c>
      <c r="F1018" s="3" t="s">
        <v>1188</v>
      </c>
      <c r="G1018" s="3" t="s">
        <v>38</v>
      </c>
      <c r="H1018" s="2" t="s">
        <v>65</v>
      </c>
      <c r="I1018" s="2" t="s">
        <v>2715</v>
      </c>
      <c r="J1018" s="3" t="str">
        <f>HYPERLINK("https://www.boe.es/gazeta/dias/1819/04/24/pdfs/GMD-1819-49.pdf#page=5","Abrir facsímil")</f>
        <v>Abrir facsímil</v>
      </c>
      <c r="K1018" s="3" t="s">
        <v>67</v>
      </c>
    </row>
    <row r="1019" spans="1:11" ht="42" customHeight="1">
      <c r="A1019" s="2" t="s">
        <v>2716</v>
      </c>
      <c r="B1019" s="2" t="s">
        <v>2717</v>
      </c>
      <c r="C1019" s="2" t="s">
        <v>59</v>
      </c>
      <c r="D1019" s="2" t="s">
        <v>18</v>
      </c>
      <c r="E1019" s="5">
        <v>-29355</v>
      </c>
      <c r="F1019" s="3" t="s">
        <v>347</v>
      </c>
      <c r="G1019" s="3" t="s">
        <v>348</v>
      </c>
      <c r="H1019" s="2" t="s">
        <v>65</v>
      </c>
      <c r="I1019" s="2" t="s">
        <v>2718</v>
      </c>
      <c r="J1019" s="3" t="str">
        <f>HYPERLINK("https://www.boe.es/gazeta/dias/1819/08/17/pdfs/GMD-1819-99.pdf#page=6","Abrir facsímil")</f>
        <v>Abrir facsímil</v>
      </c>
      <c r="K1019" s="3" t="s">
        <v>67</v>
      </c>
    </row>
    <row r="1020" spans="1:11" ht="42" customHeight="1">
      <c r="A1020" s="2" t="s">
        <v>2719</v>
      </c>
      <c r="B1020" s="2" t="s">
        <v>2720</v>
      </c>
      <c r="C1020" s="2" t="s">
        <v>80</v>
      </c>
      <c r="D1020" s="2" t="s">
        <v>81</v>
      </c>
      <c r="E1020" s="5">
        <v>-29222</v>
      </c>
      <c r="F1020" s="3" t="s">
        <v>338</v>
      </c>
      <c r="G1020" s="3" t="s">
        <v>988</v>
      </c>
      <c r="H1020" s="2" t="s">
        <v>65</v>
      </c>
      <c r="I1020" s="2" t="s">
        <v>2721</v>
      </c>
      <c r="J1020" s="3" t="str">
        <f>HYPERLINK("https://www.boe.es/gazeta/dias/1819/12/28/pdfs/GMD-1819-159.pdf#page=4","Abrir facsímil")</f>
        <v>Abrir facsímil</v>
      </c>
      <c r="K1020" s="3" t="s">
        <v>67</v>
      </c>
    </row>
    <row r="1021" spans="1:11" ht="42" customHeight="1">
      <c r="A1021" s="2" t="s">
        <v>2722</v>
      </c>
      <c r="B1021" s="2" t="s">
        <v>2723</v>
      </c>
      <c r="C1021" s="2" t="s">
        <v>80</v>
      </c>
      <c r="D1021" s="2" t="s">
        <v>81</v>
      </c>
      <c r="E1021" s="5">
        <v>-29274</v>
      </c>
      <c r="F1021" s="3" t="s">
        <v>247</v>
      </c>
      <c r="G1021" s="3" t="s">
        <v>33</v>
      </c>
      <c r="H1021" s="2" t="s">
        <v>65</v>
      </c>
      <c r="I1021" s="2" t="s">
        <v>2724</v>
      </c>
      <c r="J1021" s="3" t="str">
        <f>HYPERLINK("https://www.boe.es/gazeta/dias/1819/11/06/pdfs/GMD-1819-137.pdf#page=6","Abrir facsímil")</f>
        <v>Abrir facsímil</v>
      </c>
      <c r="K1021" s="3" t="s">
        <v>67</v>
      </c>
    </row>
    <row r="1022" spans="1:11" ht="42" customHeight="1">
      <c r="A1022" s="2" t="s">
        <v>2725</v>
      </c>
      <c r="B1022" s="2" t="s">
        <v>2726</v>
      </c>
      <c r="C1022" s="2" t="s">
        <v>80</v>
      </c>
      <c r="D1022" s="2" t="s">
        <v>81</v>
      </c>
      <c r="E1022" s="5">
        <v>-29582</v>
      </c>
      <c r="F1022" s="3" t="s">
        <v>376</v>
      </c>
      <c r="G1022" s="3" t="s">
        <v>702</v>
      </c>
      <c r="H1022" s="2" t="s">
        <v>65</v>
      </c>
      <c r="I1022" s="2" t="s">
        <v>2727</v>
      </c>
      <c r="J1022" s="3" t="str">
        <f>HYPERLINK("https://www.boe.es/gazeta/dias/1819/01/02/pdfs/GMD-1819-1.pdf#page=7","Abrir facsímil")</f>
        <v>Abrir facsímil</v>
      </c>
      <c r="K1022" s="3" t="s">
        <v>67</v>
      </c>
    </row>
    <row r="1023" spans="1:11" ht="42" customHeight="1">
      <c r="A1023" s="2" t="s">
        <v>2728</v>
      </c>
      <c r="B1023" s="2" t="s">
        <v>2728</v>
      </c>
      <c r="C1023" s="2" t="s">
        <v>17</v>
      </c>
      <c r="D1023" s="2" t="s">
        <v>18</v>
      </c>
      <c r="E1023" s="5">
        <v>-29316</v>
      </c>
      <c r="F1023" s="3" t="s">
        <v>166</v>
      </c>
      <c r="G1023" s="3" t="s">
        <v>55</v>
      </c>
      <c r="H1023" s="2" t="s">
        <v>65</v>
      </c>
      <c r="I1023" s="2" t="s">
        <v>2729</v>
      </c>
      <c r="J1023" s="3" t="str">
        <f>HYPERLINK("https://www.boe.es/gazeta/dias/1819/09/25/pdfs/GMD-1819-118.pdf#page=7","Abrir facsímil")</f>
        <v>Abrir facsímil</v>
      </c>
      <c r="K1023" s="3" t="s">
        <v>67</v>
      </c>
    </row>
    <row r="1024" spans="1:11" ht="42" customHeight="1">
      <c r="A1024" s="2" t="s">
        <v>2730</v>
      </c>
      <c r="B1024" s="2" t="s">
        <v>2730</v>
      </c>
      <c r="C1024" s="2" t="s">
        <v>63</v>
      </c>
      <c r="D1024" s="2" t="s">
        <v>43</v>
      </c>
      <c r="E1024" s="5">
        <v>-29472</v>
      </c>
      <c r="F1024" s="3" t="s">
        <v>393</v>
      </c>
      <c r="G1024" s="3" t="s">
        <v>28</v>
      </c>
      <c r="H1024" s="2" t="s">
        <v>65</v>
      </c>
      <c r="I1024" s="2" t="s">
        <v>2731</v>
      </c>
      <c r="J1024" s="3" t="str">
        <f>HYPERLINK("https://www.boe.es/gazeta/dias/1819/04/22/pdfs/GMD-1819-48.pdf#page=8","Abrir facsímil")</f>
        <v>Abrir facsímil</v>
      </c>
      <c r="K1024" s="3" t="s">
        <v>67</v>
      </c>
    </row>
    <row r="1025" spans="1:11" ht="42" customHeight="1">
      <c r="A1025" s="2" t="s">
        <v>2730</v>
      </c>
      <c r="B1025" s="2" t="s">
        <v>2730</v>
      </c>
      <c r="C1025" s="2" t="s">
        <v>26</v>
      </c>
      <c r="D1025" s="2" t="s">
        <v>18</v>
      </c>
      <c r="E1025" s="5">
        <v>-29311</v>
      </c>
      <c r="F1025" s="3" t="s">
        <v>678</v>
      </c>
      <c r="G1025" s="3" t="s">
        <v>33</v>
      </c>
      <c r="H1025" s="2" t="s">
        <v>65</v>
      </c>
      <c r="I1025" s="2" t="s">
        <v>2732</v>
      </c>
      <c r="J1025" s="3" t="str">
        <f>HYPERLINK("https://www.boe.es/gazeta/dias/1819/09/30/pdfs/GMD-1819-120.pdf#page=6","Abrir facsímil")</f>
        <v>Abrir facsímil</v>
      </c>
      <c r="K1025" s="3" t="s">
        <v>67</v>
      </c>
    </row>
    <row r="1026" spans="1:11" ht="42" customHeight="1">
      <c r="A1026" s="2" t="s">
        <v>2733</v>
      </c>
      <c r="B1026" s="2" t="s">
        <v>2734</v>
      </c>
      <c r="C1026" s="2" t="s">
        <v>136</v>
      </c>
      <c r="D1026" s="2" t="s">
        <v>18</v>
      </c>
      <c r="E1026" s="5">
        <v>-29260</v>
      </c>
      <c r="F1026" s="3" t="s">
        <v>93</v>
      </c>
      <c r="G1026" s="3" t="s">
        <v>33</v>
      </c>
      <c r="H1026" s="2" t="s">
        <v>65</v>
      </c>
      <c r="I1026" s="2" t="s">
        <v>2735</v>
      </c>
      <c r="J1026" s="3" t="str">
        <f>HYPERLINK("https://www.boe.es/gazeta/dias/1819/11/20/pdfs/GMD-1819-143.pdf#page=6","Abrir facsímil")</f>
        <v>Abrir facsímil</v>
      </c>
      <c r="K1026" s="3" t="s">
        <v>67</v>
      </c>
    </row>
    <row r="1027" spans="1:11" ht="42" customHeight="1">
      <c r="A1027" s="2" t="s">
        <v>2736</v>
      </c>
      <c r="B1027" s="2" t="s">
        <v>2736</v>
      </c>
      <c r="C1027" s="2" t="s">
        <v>80</v>
      </c>
      <c r="D1027" s="2" t="s">
        <v>81</v>
      </c>
      <c r="E1027" s="5">
        <v>-29502</v>
      </c>
      <c r="F1027" s="3" t="s">
        <v>86</v>
      </c>
      <c r="G1027" s="3" t="s">
        <v>2658</v>
      </c>
      <c r="H1027" s="2" t="s">
        <v>65</v>
      </c>
      <c r="I1027" s="2" t="s">
        <v>2737</v>
      </c>
      <c r="J1027" s="3" t="str">
        <f>HYPERLINK("https://www.boe.es/gazeta/dias/1819/03/23/pdfs/GMD-1819-35.pdf#page=4","Abrir facsímil")</f>
        <v>Abrir facsímil</v>
      </c>
      <c r="K1027" s="3" t="s">
        <v>67</v>
      </c>
    </row>
    <row r="1028" spans="1:11" ht="42" customHeight="1">
      <c r="A1028" s="2" t="s">
        <v>2738</v>
      </c>
      <c r="B1028" s="2" t="s">
        <v>2739</v>
      </c>
      <c r="C1028" s="2" t="s">
        <v>63</v>
      </c>
      <c r="D1028" s="2" t="s">
        <v>43</v>
      </c>
      <c r="E1028" s="5">
        <v>-29281</v>
      </c>
      <c r="F1028" s="3" t="s">
        <v>19</v>
      </c>
      <c r="G1028" s="3" t="s">
        <v>55</v>
      </c>
      <c r="H1028" s="2" t="s">
        <v>65</v>
      </c>
      <c r="I1028" s="2" t="s">
        <v>2740</v>
      </c>
      <c r="J1028" s="3" t="str">
        <f>HYPERLINK("https://www.boe.es/gazeta/dias/1819/10/30/pdfs/GMD-1819-134.pdf#page=7","Abrir facsímil")</f>
        <v>Abrir facsímil</v>
      </c>
      <c r="K1028" s="3" t="s">
        <v>67</v>
      </c>
    </row>
    <row r="1029" spans="1:11" ht="42" customHeight="1">
      <c r="A1029" s="2" t="s">
        <v>2741</v>
      </c>
      <c r="B1029" s="2" t="s">
        <v>2741</v>
      </c>
      <c r="C1029" s="2" t="s">
        <v>59</v>
      </c>
      <c r="D1029" s="2" t="s">
        <v>18</v>
      </c>
      <c r="E1029" s="5">
        <v>-29421</v>
      </c>
      <c r="F1029" s="3" t="s">
        <v>1972</v>
      </c>
      <c r="G1029" s="3" t="s">
        <v>2742</v>
      </c>
      <c r="H1029" s="2" t="s">
        <v>65</v>
      </c>
      <c r="I1029" s="2" t="s">
        <v>2743</v>
      </c>
      <c r="J1029" s="3" t="str">
        <f>HYPERLINK("https://www.boe.es/gazeta/dias/1819/06/12/pdfs/GMD-1819-70.pdf#page=4","Abrir facsímil")</f>
        <v>Abrir facsímil</v>
      </c>
      <c r="K1029" s="3" t="s">
        <v>67</v>
      </c>
    </row>
    <row r="1030" spans="1:11" ht="42" customHeight="1">
      <c r="A1030" s="2" t="s">
        <v>2744</v>
      </c>
      <c r="B1030" s="2" t="s">
        <v>2745</v>
      </c>
      <c r="C1030" s="2" t="s">
        <v>17</v>
      </c>
      <c r="D1030" s="2" t="s">
        <v>18</v>
      </c>
      <c r="E1030" s="5">
        <v>-29264</v>
      </c>
      <c r="F1030" s="3" t="s">
        <v>37</v>
      </c>
      <c r="G1030" s="3" t="s">
        <v>33</v>
      </c>
      <c r="H1030" s="2" t="s">
        <v>65</v>
      </c>
      <c r="I1030" s="2" t="s">
        <v>2746</v>
      </c>
      <c r="J1030" s="3" t="str">
        <f>HYPERLINK("https://www.boe.es/gazeta/dias/1819/11/16/pdfs/GMD-1819-141.pdf#page=6","Abrir facsímil")</f>
        <v>Abrir facsímil</v>
      </c>
      <c r="K1030" s="3" t="s">
        <v>67</v>
      </c>
    </row>
    <row r="1031" spans="1:11" ht="42" customHeight="1">
      <c r="A1031" s="2" t="s">
        <v>2747</v>
      </c>
      <c r="B1031" s="2" t="s">
        <v>2748</v>
      </c>
      <c r="C1031" s="2" t="s">
        <v>26</v>
      </c>
      <c r="D1031" s="2" t="s">
        <v>18</v>
      </c>
      <c r="E1031" s="5">
        <v>-29411</v>
      </c>
      <c r="F1031" s="3" t="s">
        <v>317</v>
      </c>
      <c r="G1031" s="3" t="s">
        <v>38</v>
      </c>
      <c r="H1031" s="2" t="s">
        <v>21</v>
      </c>
      <c r="I1031" s="2" t="s">
        <v>2749</v>
      </c>
      <c r="J1031" s="3" t="str">
        <f>HYPERLINK("https://www.boe.es/gazeta/dias/1819/06/22/pdfs/GMD-1819-75.pdf#page=5","Abrir facsímil")</f>
        <v>Abrir facsímil</v>
      </c>
      <c r="K1031" s="3" t="s">
        <v>23</v>
      </c>
    </row>
    <row r="1032" spans="1:11" ht="42" customHeight="1">
      <c r="A1032" s="2" t="s">
        <v>2750</v>
      </c>
      <c r="B1032" s="2" t="s">
        <v>2750</v>
      </c>
      <c r="C1032" s="2" t="s">
        <v>80</v>
      </c>
      <c r="D1032" s="2" t="s">
        <v>81</v>
      </c>
      <c r="E1032" s="5">
        <v>-29523</v>
      </c>
      <c r="F1032" s="3" t="s">
        <v>436</v>
      </c>
      <c r="G1032" s="3" t="s">
        <v>239</v>
      </c>
      <c r="H1032" s="2" t="s">
        <v>65</v>
      </c>
      <c r="I1032" s="2" t="s">
        <v>2751</v>
      </c>
      <c r="J1032" s="3" t="str">
        <f>HYPERLINK("https://www.boe.es/gazeta/dias/1819/03/02/pdfs/GMD-1819-26.pdf#page=1","Abrir facsímil")</f>
        <v>Abrir facsímil</v>
      </c>
      <c r="K1032" s="3" t="s">
        <v>67</v>
      </c>
    </row>
    <row r="1033" spans="1:11" ht="42" customHeight="1">
      <c r="A1033" s="2" t="s">
        <v>2752</v>
      </c>
      <c r="B1033" s="2" t="s">
        <v>2752</v>
      </c>
      <c r="C1033" s="2" t="s">
        <v>136</v>
      </c>
      <c r="D1033" s="2" t="s">
        <v>18</v>
      </c>
      <c r="E1033" s="5">
        <v>-29537</v>
      </c>
      <c r="F1033" s="3" t="s">
        <v>593</v>
      </c>
      <c r="G1033" s="3" t="s">
        <v>138</v>
      </c>
      <c r="H1033" s="2" t="s">
        <v>65</v>
      </c>
      <c r="I1033" s="2" t="s">
        <v>2753</v>
      </c>
      <c r="J1033" s="3" t="str">
        <f>HYPERLINK("https://www.boe.es/gazeta/dias/1819/02/16/pdfs/GMD-1819-20.pdf#page=12","Abrir facsímil")</f>
        <v>Abrir facsímil</v>
      </c>
      <c r="K1033" s="3" t="s">
        <v>67</v>
      </c>
    </row>
    <row r="1034" spans="1:11" ht="42" customHeight="1">
      <c r="A1034" s="2" t="s">
        <v>2752</v>
      </c>
      <c r="B1034" s="2" t="s">
        <v>2752</v>
      </c>
      <c r="C1034" s="2" t="s">
        <v>59</v>
      </c>
      <c r="D1034" s="2" t="s">
        <v>18</v>
      </c>
      <c r="E1034" s="5">
        <v>-29276</v>
      </c>
      <c r="F1034" s="3" t="s">
        <v>54</v>
      </c>
      <c r="G1034" s="3" t="s">
        <v>55</v>
      </c>
      <c r="H1034" s="2" t="s">
        <v>65</v>
      </c>
      <c r="I1034" s="2" t="s">
        <v>2754</v>
      </c>
      <c r="J1034" s="3" t="str">
        <f>HYPERLINK("https://www.boe.es/gazeta/dias/1819/11/04/pdfs/GMD-1819-136.pdf#page=7","Abrir facsímil")</f>
        <v>Abrir facsímil</v>
      </c>
      <c r="K1034" s="3" t="s">
        <v>67</v>
      </c>
    </row>
    <row r="1035" spans="1:11" ht="42" customHeight="1">
      <c r="A1035" s="2" t="s">
        <v>2755</v>
      </c>
      <c r="B1035" s="2" t="s">
        <v>2755</v>
      </c>
      <c r="C1035" s="2" t="s">
        <v>136</v>
      </c>
      <c r="D1035" s="2" t="s">
        <v>18</v>
      </c>
      <c r="E1035" s="5">
        <v>-29449</v>
      </c>
      <c r="F1035" s="3" t="s">
        <v>771</v>
      </c>
      <c r="G1035" s="3" t="s">
        <v>28</v>
      </c>
      <c r="H1035" s="2" t="s">
        <v>65</v>
      </c>
      <c r="I1035" s="2" t="s">
        <v>2756</v>
      </c>
      <c r="J1035" s="3" t="str">
        <f>HYPERLINK("https://www.boe.es/gazeta/dias/1819/05/15/pdfs/GMD-1819-58.pdf#page=8","Abrir facsímil")</f>
        <v>Abrir facsímil</v>
      </c>
      <c r="K1035" s="3" t="s">
        <v>67</v>
      </c>
    </row>
    <row r="1036" spans="1:11" ht="42" customHeight="1">
      <c r="A1036" s="2" t="s">
        <v>2755</v>
      </c>
      <c r="B1036" s="2" t="s">
        <v>2755</v>
      </c>
      <c r="C1036" s="2" t="s">
        <v>136</v>
      </c>
      <c r="D1036" s="2" t="s">
        <v>18</v>
      </c>
      <c r="E1036" s="5">
        <v>-29316</v>
      </c>
      <c r="F1036" s="3" t="s">
        <v>166</v>
      </c>
      <c r="G1036" s="3" t="s">
        <v>138</v>
      </c>
      <c r="H1036" s="2" t="s">
        <v>65</v>
      </c>
      <c r="I1036" s="2" t="s">
        <v>2757</v>
      </c>
      <c r="J1036" s="3" t="str">
        <f>HYPERLINK("https://www.boe.es/gazeta/dias/1819/09/25/pdfs/GMD-1819-118.pdf#page=12","Abrir facsímil")</f>
        <v>Abrir facsímil</v>
      </c>
      <c r="K1036" s="3" t="s">
        <v>67</v>
      </c>
    </row>
    <row r="1037" spans="1:11" ht="42" customHeight="1">
      <c r="A1037" s="2" t="s">
        <v>2755</v>
      </c>
      <c r="B1037" s="2" t="s">
        <v>2755</v>
      </c>
      <c r="C1037" s="2" t="s">
        <v>136</v>
      </c>
      <c r="D1037" s="2" t="s">
        <v>18</v>
      </c>
      <c r="E1037" s="5">
        <v>-29239</v>
      </c>
      <c r="F1037" s="3" t="s">
        <v>724</v>
      </c>
      <c r="G1037" s="3" t="s">
        <v>28</v>
      </c>
      <c r="H1037" s="2" t="s">
        <v>65</v>
      </c>
      <c r="I1037" s="2" t="s">
        <v>2758</v>
      </c>
      <c r="J1037" s="3" t="str">
        <f>HYPERLINK("https://www.boe.es/gazeta/dias/1819/12/11/pdfs/GMD-1819-152.pdf#page=8","Abrir facsímil")</f>
        <v>Abrir facsímil</v>
      </c>
      <c r="K1037" s="3" t="s">
        <v>67</v>
      </c>
    </row>
    <row r="1038" spans="1:11" ht="42" customHeight="1">
      <c r="A1038" s="2" t="s">
        <v>2759</v>
      </c>
      <c r="B1038" s="2" t="s">
        <v>2760</v>
      </c>
      <c r="C1038" s="2" t="s">
        <v>80</v>
      </c>
      <c r="D1038" s="2" t="s">
        <v>81</v>
      </c>
      <c r="E1038" s="5">
        <v>-29402</v>
      </c>
      <c r="F1038" s="3" t="s">
        <v>1091</v>
      </c>
      <c r="G1038" s="3" t="s">
        <v>38</v>
      </c>
      <c r="H1038" s="2" t="s">
        <v>65</v>
      </c>
      <c r="I1038" s="2" t="s">
        <v>2761</v>
      </c>
      <c r="J1038" s="3" t="str">
        <f>HYPERLINK("https://www.boe.es/gazeta/dias/1819/07/01/pdfs/GMD-1819-79.pdf#page=5","Abrir facsímil")</f>
        <v>Abrir facsímil</v>
      </c>
      <c r="K1038" s="3" t="s">
        <v>67</v>
      </c>
    </row>
    <row r="1039" spans="1:11" ht="42" customHeight="1">
      <c r="A1039" s="2" t="s">
        <v>2762</v>
      </c>
      <c r="B1039" s="2" t="s">
        <v>2763</v>
      </c>
      <c r="C1039" s="2" t="s">
        <v>63</v>
      </c>
      <c r="D1039" s="2" t="s">
        <v>43</v>
      </c>
      <c r="E1039" s="5">
        <v>-29442</v>
      </c>
      <c r="F1039" s="3" t="s">
        <v>427</v>
      </c>
      <c r="G1039" s="3" t="s">
        <v>55</v>
      </c>
      <c r="H1039" s="2" t="s">
        <v>65</v>
      </c>
      <c r="I1039" s="2" t="s">
        <v>2764</v>
      </c>
      <c r="J1039" s="3" t="str">
        <f>HYPERLINK("https://www.boe.es/gazeta/dias/1819/05/22/pdfs/GMD-1819-61.pdf#page=7","Abrir facsímil")</f>
        <v>Abrir facsímil</v>
      </c>
      <c r="K1039" s="3" t="s">
        <v>67</v>
      </c>
    </row>
    <row r="1040" spans="1:11" ht="42" customHeight="1">
      <c r="A1040" s="2" t="s">
        <v>2765</v>
      </c>
      <c r="B1040" s="2" t="s">
        <v>2765</v>
      </c>
      <c r="C1040" s="2" t="s">
        <v>80</v>
      </c>
      <c r="D1040" s="2" t="s">
        <v>81</v>
      </c>
      <c r="E1040" s="5">
        <v>-29297</v>
      </c>
      <c r="F1040" s="3" t="s">
        <v>82</v>
      </c>
      <c r="G1040" s="3" t="s">
        <v>33</v>
      </c>
      <c r="H1040" s="2" t="s">
        <v>65</v>
      </c>
      <c r="I1040" s="2" t="s">
        <v>2766</v>
      </c>
      <c r="J1040" s="3" t="str">
        <f>HYPERLINK("https://www.boe.es/gazeta/dias/1819/10/14/pdfs/GMD-1819-126.pdf#page=6","Abrir facsímil")</f>
        <v>Abrir facsímil</v>
      </c>
      <c r="K1040" s="3" t="s">
        <v>67</v>
      </c>
    </row>
    <row r="1041" spans="1:11" ht="42" customHeight="1">
      <c r="A1041" s="2" t="s">
        <v>2767</v>
      </c>
      <c r="B1041" s="2" t="s">
        <v>2768</v>
      </c>
      <c r="C1041" s="2" t="s">
        <v>63</v>
      </c>
      <c r="D1041" s="2" t="s">
        <v>43</v>
      </c>
      <c r="E1041" s="5">
        <v>-29304</v>
      </c>
      <c r="F1041" s="3" t="s">
        <v>519</v>
      </c>
      <c r="G1041" s="3" t="s">
        <v>28</v>
      </c>
      <c r="H1041" s="2" t="s">
        <v>65</v>
      </c>
      <c r="I1041" s="2" t="s">
        <v>2769</v>
      </c>
      <c r="J1041" s="3" t="str">
        <f>HYPERLINK("https://www.boe.es/gazeta/dias/1819/10/07/pdfs/GMD-1819-123.pdf#page=8","Abrir facsímil")</f>
        <v>Abrir facsímil</v>
      </c>
      <c r="K1041" s="3" t="s">
        <v>67</v>
      </c>
    </row>
    <row r="1042" spans="1:11" ht="42" customHeight="1">
      <c r="A1042" s="2" t="s">
        <v>2770</v>
      </c>
      <c r="B1042" s="2" t="s">
        <v>2771</v>
      </c>
      <c r="C1042" s="2" t="s">
        <v>63</v>
      </c>
      <c r="D1042" s="2" t="s">
        <v>43</v>
      </c>
      <c r="E1042" s="5">
        <v>-29304</v>
      </c>
      <c r="F1042" s="3" t="s">
        <v>519</v>
      </c>
      <c r="G1042" s="3" t="s">
        <v>55</v>
      </c>
      <c r="H1042" s="2" t="s">
        <v>65</v>
      </c>
      <c r="I1042" s="2" t="s">
        <v>2772</v>
      </c>
      <c r="J1042" s="3" t="str">
        <f>HYPERLINK("https://www.boe.es/gazeta/dias/1819/10/07/pdfs/GMD-1819-123.pdf#page=7","Abrir facsímil")</f>
        <v>Abrir facsímil</v>
      </c>
      <c r="K1042" s="3" t="s">
        <v>67</v>
      </c>
    </row>
    <row r="1043" spans="1:11" ht="42" customHeight="1">
      <c r="A1043" s="2" t="s">
        <v>2773</v>
      </c>
      <c r="B1043" s="2" t="s">
        <v>2773</v>
      </c>
      <c r="C1043" s="2" t="s">
        <v>80</v>
      </c>
      <c r="D1043" s="2" t="s">
        <v>81</v>
      </c>
      <c r="E1043" s="5">
        <v>-29442</v>
      </c>
      <c r="F1043" s="3" t="s">
        <v>427</v>
      </c>
      <c r="G1043" s="3" t="s">
        <v>296</v>
      </c>
      <c r="H1043" s="2" t="s">
        <v>65</v>
      </c>
      <c r="I1043" s="2" t="s">
        <v>2774</v>
      </c>
      <c r="J1043" s="3" t="str">
        <f>HYPERLINK("https://www.boe.es/gazeta/dias/1819/05/22/pdfs/GMD-1819-61.pdf#page=4","Abrir facsímil")</f>
        <v>Abrir facsímil</v>
      </c>
      <c r="K1043" s="3" t="s">
        <v>67</v>
      </c>
    </row>
    <row r="1044" spans="1:11" ht="42" customHeight="1">
      <c r="A1044" s="2" t="s">
        <v>2773</v>
      </c>
      <c r="B1044" s="2" t="s">
        <v>2773</v>
      </c>
      <c r="C1044" s="2" t="s">
        <v>80</v>
      </c>
      <c r="D1044" s="2" t="s">
        <v>81</v>
      </c>
      <c r="E1044" s="5">
        <v>-29267</v>
      </c>
      <c r="F1044" s="3" t="s">
        <v>370</v>
      </c>
      <c r="G1044" s="3" t="s">
        <v>28</v>
      </c>
      <c r="H1044" s="2" t="s">
        <v>65</v>
      </c>
      <c r="I1044" s="2" t="s">
        <v>2775</v>
      </c>
      <c r="J1044" s="3" t="str">
        <f>HYPERLINK("https://www.boe.es/gazeta/dias/1819/11/13/pdfs/GMD-1819-140.pdf#page=8","Abrir facsímil")</f>
        <v>Abrir facsímil</v>
      </c>
      <c r="K1044" s="3" t="s">
        <v>67</v>
      </c>
    </row>
    <row r="1045" spans="1:11" ht="42" customHeight="1">
      <c r="A1045" s="2" t="s">
        <v>2773</v>
      </c>
      <c r="B1045" s="2" t="s">
        <v>2773</v>
      </c>
      <c r="C1045" s="2" t="s">
        <v>80</v>
      </c>
      <c r="D1045" s="2" t="s">
        <v>81</v>
      </c>
      <c r="E1045" s="5">
        <v>-29229</v>
      </c>
      <c r="F1045" s="3" t="s">
        <v>44</v>
      </c>
      <c r="G1045" s="3" t="s">
        <v>38</v>
      </c>
      <c r="H1045" s="2" t="s">
        <v>65</v>
      </c>
      <c r="I1045" s="2" t="s">
        <v>2776</v>
      </c>
      <c r="J1045" s="3" t="str">
        <f>HYPERLINK("https://www.boe.es/gazeta/dias/1819/12/21/pdfs/GMD-1819-156.pdf#page=5","Abrir facsímil")</f>
        <v>Abrir facsímil</v>
      </c>
      <c r="K1045" s="3" t="s">
        <v>67</v>
      </c>
    </row>
    <row r="1046" spans="1:11" ht="42" customHeight="1">
      <c r="A1046" s="2" t="s">
        <v>2777</v>
      </c>
      <c r="B1046" s="2" t="s">
        <v>2777</v>
      </c>
      <c r="C1046" s="2" t="s">
        <v>80</v>
      </c>
      <c r="D1046" s="2" t="s">
        <v>81</v>
      </c>
      <c r="E1046" s="5">
        <v>-29267</v>
      </c>
      <c r="F1046" s="3" t="s">
        <v>370</v>
      </c>
      <c r="G1046" s="3" t="s">
        <v>456</v>
      </c>
      <c r="H1046" s="2" t="s">
        <v>65</v>
      </c>
      <c r="I1046" s="2" t="s">
        <v>2778</v>
      </c>
      <c r="J1046" s="3" t="str">
        <f>HYPERLINK("https://www.boe.es/gazeta/dias/1819/11/13/pdfs/GMD-1819-140.pdf#page=9","Abrir facsímil")</f>
        <v>Abrir facsímil</v>
      </c>
      <c r="K1046" s="3" t="s">
        <v>67</v>
      </c>
    </row>
    <row r="1047" spans="1:11" ht="42" customHeight="1">
      <c r="A1047" s="2" t="s">
        <v>2779</v>
      </c>
      <c r="B1047" s="2" t="s">
        <v>2780</v>
      </c>
      <c r="C1047" s="2" t="s">
        <v>63</v>
      </c>
      <c r="D1047" s="2" t="s">
        <v>43</v>
      </c>
      <c r="E1047" s="5">
        <v>-29435</v>
      </c>
      <c r="F1047" s="3" t="s">
        <v>191</v>
      </c>
      <c r="G1047" s="3" t="s">
        <v>55</v>
      </c>
      <c r="H1047" s="2" t="s">
        <v>65</v>
      </c>
      <c r="I1047" s="2" t="s">
        <v>2781</v>
      </c>
      <c r="J1047" s="3" t="str">
        <f>HYPERLINK("https://www.boe.es/gazeta/dias/1819/05/29/pdfs/GMD-1819-64.pdf#page=7","Abrir facsímil")</f>
        <v>Abrir facsímil</v>
      </c>
      <c r="K1047" s="3" t="s">
        <v>67</v>
      </c>
    </row>
    <row r="1048" spans="1:11" ht="42" customHeight="1">
      <c r="A1048" s="2" t="s">
        <v>2782</v>
      </c>
      <c r="B1048" s="2" t="s">
        <v>2783</v>
      </c>
      <c r="C1048" s="2" t="s">
        <v>59</v>
      </c>
      <c r="D1048" s="2" t="s">
        <v>18</v>
      </c>
      <c r="E1048" s="5">
        <v>-29537</v>
      </c>
      <c r="F1048" s="3" t="s">
        <v>593</v>
      </c>
      <c r="G1048" s="3" t="s">
        <v>28</v>
      </c>
      <c r="H1048" s="2" t="s">
        <v>21</v>
      </c>
      <c r="I1048" s="2" t="s">
        <v>2784</v>
      </c>
      <c r="J1048" s="3" t="str">
        <f>HYPERLINK("https://www.boe.es/gazeta/dias/1819/02/16/pdfs/GMD-1819-20.pdf#page=8","Abrir facsímil")</f>
        <v>Abrir facsímil</v>
      </c>
      <c r="K1048" s="3" t="s">
        <v>23</v>
      </c>
    </row>
    <row r="1049" spans="1:11" ht="42" customHeight="1">
      <c r="A1049" s="2" t="s">
        <v>2785</v>
      </c>
      <c r="B1049" s="2" t="s">
        <v>2785</v>
      </c>
      <c r="C1049" s="2" t="s">
        <v>80</v>
      </c>
      <c r="D1049" s="2" t="s">
        <v>81</v>
      </c>
      <c r="E1049" s="5">
        <v>-29325</v>
      </c>
      <c r="F1049" s="3" t="s">
        <v>174</v>
      </c>
      <c r="G1049" s="3" t="s">
        <v>1812</v>
      </c>
      <c r="H1049" s="2" t="s">
        <v>65</v>
      </c>
      <c r="I1049" s="2" t="s">
        <v>2786</v>
      </c>
      <c r="J1049" s="3" t="str">
        <f>HYPERLINK("https://www.boe.es/gazeta/dias/1819/09/16/pdfs/GMD-1819-113.pdf#page=4","Abrir facsímil")</f>
        <v>Abrir facsímil</v>
      </c>
      <c r="K1049" s="3" t="s">
        <v>67</v>
      </c>
    </row>
    <row r="1050" spans="1:11" ht="42" customHeight="1">
      <c r="A1050" s="2" t="s">
        <v>2787</v>
      </c>
      <c r="B1050" s="2" t="s">
        <v>2788</v>
      </c>
      <c r="C1050" s="2" t="s">
        <v>63</v>
      </c>
      <c r="D1050" s="2" t="s">
        <v>43</v>
      </c>
      <c r="E1050" s="5">
        <v>-29316</v>
      </c>
      <c r="F1050" s="3" t="s">
        <v>166</v>
      </c>
      <c r="G1050" s="3" t="s">
        <v>28</v>
      </c>
      <c r="H1050" s="2" t="s">
        <v>65</v>
      </c>
      <c r="I1050" s="2" t="s">
        <v>2789</v>
      </c>
      <c r="J1050" s="3" t="str">
        <f>HYPERLINK("https://www.boe.es/gazeta/dias/1819/09/25/pdfs/GMD-1819-118.pdf#page=8","Abrir facsímil")</f>
        <v>Abrir facsímil</v>
      </c>
      <c r="K1050" s="3" t="s">
        <v>67</v>
      </c>
    </row>
    <row r="1051" spans="1:11" ht="42" customHeight="1">
      <c r="A1051" s="2" t="s">
        <v>2790</v>
      </c>
      <c r="B1051" s="2" t="s">
        <v>2791</v>
      </c>
      <c r="C1051" s="2" t="s">
        <v>63</v>
      </c>
      <c r="D1051" s="2" t="s">
        <v>43</v>
      </c>
      <c r="E1051" s="5">
        <v>-29444</v>
      </c>
      <c r="F1051" s="3" t="s">
        <v>258</v>
      </c>
      <c r="G1051" s="3" t="s">
        <v>28</v>
      </c>
      <c r="H1051" s="2" t="s">
        <v>65</v>
      </c>
      <c r="I1051" s="2" t="s">
        <v>2792</v>
      </c>
      <c r="J1051" s="3" t="str">
        <f>HYPERLINK("https://www.boe.es/gazeta/dias/1819/05/20/pdfs/GMD-1819-60.pdf#page=8","Abrir facsímil")</f>
        <v>Abrir facsímil</v>
      </c>
      <c r="K1051" s="3" t="s">
        <v>67</v>
      </c>
    </row>
    <row r="1052" spans="1:11" ht="42" customHeight="1">
      <c r="A1052" s="2" t="s">
        <v>2793</v>
      </c>
      <c r="B1052" s="2" t="s">
        <v>2794</v>
      </c>
      <c r="C1052" s="2" t="s">
        <v>59</v>
      </c>
      <c r="D1052" s="2" t="s">
        <v>18</v>
      </c>
      <c r="E1052" s="5">
        <v>-29526</v>
      </c>
      <c r="F1052" s="3" t="s">
        <v>307</v>
      </c>
      <c r="G1052" s="3" t="s">
        <v>28</v>
      </c>
      <c r="H1052" s="2" t="s">
        <v>65</v>
      </c>
      <c r="I1052" s="2" t="s">
        <v>2795</v>
      </c>
      <c r="J1052" s="3" t="str">
        <f>HYPERLINK("https://www.boe.es/gazeta/dias/1819/02/27/pdfs/GMD-1819-25.pdf#page=8","Abrir facsímil")</f>
        <v>Abrir facsímil</v>
      </c>
      <c r="K1052" s="3" t="s">
        <v>67</v>
      </c>
    </row>
    <row r="1053" spans="1:11" ht="42" customHeight="1">
      <c r="A1053" s="2" t="s">
        <v>2796</v>
      </c>
      <c r="B1053" s="2" t="s">
        <v>2797</v>
      </c>
      <c r="C1053" s="2" t="s">
        <v>59</v>
      </c>
      <c r="D1053" s="2" t="s">
        <v>18</v>
      </c>
      <c r="E1053" s="5">
        <v>-29537</v>
      </c>
      <c r="F1053" s="3" t="s">
        <v>593</v>
      </c>
      <c r="G1053" s="3" t="s">
        <v>20</v>
      </c>
      <c r="H1053" s="2" t="s">
        <v>65</v>
      </c>
      <c r="I1053" s="2" t="s">
        <v>2798</v>
      </c>
      <c r="J1053" s="3" t="str">
        <f>HYPERLINK("https://www.boe.es/gazeta/dias/1819/02/16/pdfs/GMD-1819-20.pdf#page=10","Abrir facsímil")</f>
        <v>Abrir facsímil</v>
      </c>
      <c r="K1053" s="3" t="s">
        <v>67</v>
      </c>
    </row>
    <row r="1054" spans="1:11" ht="42" customHeight="1">
      <c r="A1054" s="2" t="s">
        <v>2799</v>
      </c>
      <c r="B1054" s="2" t="s">
        <v>2799</v>
      </c>
      <c r="C1054" s="2" t="s">
        <v>80</v>
      </c>
      <c r="D1054" s="2" t="s">
        <v>81</v>
      </c>
      <c r="E1054" s="5">
        <v>-29502</v>
      </c>
      <c r="F1054" s="3" t="s">
        <v>86</v>
      </c>
      <c r="G1054" s="3" t="s">
        <v>2658</v>
      </c>
      <c r="H1054" s="2" t="s">
        <v>65</v>
      </c>
      <c r="I1054" s="2" t="s">
        <v>2800</v>
      </c>
      <c r="J1054" s="3" t="str">
        <f>HYPERLINK("https://www.boe.es/gazeta/dias/1819/03/23/pdfs/GMD-1819-35.pdf#page=4","Abrir facsímil")</f>
        <v>Abrir facsímil</v>
      </c>
      <c r="K1054" s="3" t="s">
        <v>67</v>
      </c>
    </row>
    <row r="1055" spans="1:11" ht="42" customHeight="1">
      <c r="A1055" s="2" t="s">
        <v>2801</v>
      </c>
      <c r="B1055" s="2" t="s">
        <v>2802</v>
      </c>
      <c r="C1055" s="2" t="s">
        <v>26</v>
      </c>
      <c r="D1055" s="2" t="s">
        <v>18</v>
      </c>
      <c r="E1055" s="5">
        <v>-29274</v>
      </c>
      <c r="F1055" s="3" t="s">
        <v>247</v>
      </c>
      <c r="G1055" s="3" t="s">
        <v>28</v>
      </c>
      <c r="H1055" s="2" t="s">
        <v>65</v>
      </c>
      <c r="I1055" s="2" t="s">
        <v>2803</v>
      </c>
      <c r="J1055" s="3" t="str">
        <f>HYPERLINK("https://www.boe.es/gazeta/dias/1819/11/06/pdfs/GMD-1819-137.pdf#page=8","Abrir facsímil")</f>
        <v>Abrir facsímil</v>
      </c>
      <c r="K1055" s="3" t="s">
        <v>67</v>
      </c>
    </row>
    <row r="1056" spans="1:11" ht="42" customHeight="1">
      <c r="A1056" s="2" t="s">
        <v>2804</v>
      </c>
      <c r="B1056" s="2" t="s">
        <v>2805</v>
      </c>
      <c r="C1056" s="2" t="s">
        <v>26</v>
      </c>
      <c r="D1056" s="2" t="s">
        <v>18</v>
      </c>
      <c r="E1056" s="5">
        <v>-29388</v>
      </c>
      <c r="F1056" s="3" t="s">
        <v>879</v>
      </c>
      <c r="G1056" s="3" t="s">
        <v>28</v>
      </c>
      <c r="H1056" s="2" t="s">
        <v>65</v>
      </c>
      <c r="I1056" s="2" t="s">
        <v>2806</v>
      </c>
      <c r="J1056" s="3" t="str">
        <f>HYPERLINK("https://www.boe.es/gazeta/dias/1819/07/15/pdfs/GMD-1819-85.pdf#page=8","Abrir facsímil")</f>
        <v>Abrir facsímil</v>
      </c>
      <c r="K1056" s="3" t="s">
        <v>67</v>
      </c>
    </row>
    <row r="1057" spans="1:11" ht="42" customHeight="1">
      <c r="A1057" s="2" t="s">
        <v>2807</v>
      </c>
      <c r="B1057" s="2" t="s">
        <v>2808</v>
      </c>
      <c r="C1057" s="2" t="s">
        <v>80</v>
      </c>
      <c r="D1057" s="2" t="s">
        <v>81</v>
      </c>
      <c r="E1057" s="5">
        <v>-29362</v>
      </c>
      <c r="F1057" s="3" t="s">
        <v>803</v>
      </c>
      <c r="G1057" s="3" t="s">
        <v>55</v>
      </c>
      <c r="H1057" s="2" t="s">
        <v>65</v>
      </c>
      <c r="I1057" s="2" t="s">
        <v>2809</v>
      </c>
      <c r="J1057" s="3" t="str">
        <f>HYPERLINK("https://www.boe.es/gazeta/dias/1819/08/10/pdfs/GMD-1819-96.pdf#page=7","Abrir facsímil")</f>
        <v>Abrir facsímil</v>
      </c>
      <c r="K1057" s="3" t="s">
        <v>67</v>
      </c>
    </row>
    <row r="1058" spans="1:11" ht="42" customHeight="1">
      <c r="A1058" s="2" t="s">
        <v>2810</v>
      </c>
      <c r="B1058" s="2" t="s">
        <v>2811</v>
      </c>
      <c r="C1058" s="2" t="s">
        <v>17</v>
      </c>
      <c r="D1058" s="2" t="s">
        <v>18</v>
      </c>
      <c r="E1058" s="5">
        <v>-29257</v>
      </c>
      <c r="F1058" s="3" t="s">
        <v>73</v>
      </c>
      <c r="G1058" s="3" t="s">
        <v>2812</v>
      </c>
      <c r="H1058" s="2" t="s">
        <v>65</v>
      </c>
      <c r="I1058" s="2" t="s">
        <v>2813</v>
      </c>
      <c r="J1058" s="3" t="str">
        <f>HYPERLINK("https://www.boe.es/gazeta/dias/1819/11/23/pdfs/GMD-1819-144.pdf#page=4","Abrir facsímil")</f>
        <v>Abrir facsímil</v>
      </c>
      <c r="K1058" s="3" t="s">
        <v>67</v>
      </c>
    </row>
    <row r="1059" spans="1:11" ht="42" customHeight="1">
      <c r="A1059" s="2" t="s">
        <v>2814</v>
      </c>
      <c r="B1059" s="2" t="s">
        <v>2814</v>
      </c>
      <c r="C1059" s="2" t="s">
        <v>63</v>
      </c>
      <c r="D1059" s="2" t="s">
        <v>43</v>
      </c>
      <c r="E1059" s="5">
        <v>-29563</v>
      </c>
      <c r="F1059" s="3" t="s">
        <v>1087</v>
      </c>
      <c r="G1059" s="3" t="s">
        <v>296</v>
      </c>
      <c r="H1059" s="2" t="s">
        <v>65</v>
      </c>
      <c r="I1059" s="2" t="s">
        <v>2815</v>
      </c>
      <c r="J1059" s="3" t="str">
        <f>HYPERLINK("https://www.boe.es/gazeta/dias/1819/01/21/pdfs/GMD-1819-9.pdf#page=4","Abrir facsímil")</f>
        <v>Abrir facsímil</v>
      </c>
      <c r="K1059" s="3" t="s">
        <v>67</v>
      </c>
    </row>
    <row r="1060" spans="1:11" ht="42" customHeight="1">
      <c r="A1060" s="2" t="s">
        <v>2816</v>
      </c>
      <c r="B1060" s="2" t="s">
        <v>2817</v>
      </c>
      <c r="C1060" s="2" t="s">
        <v>63</v>
      </c>
      <c r="D1060" s="2" t="s">
        <v>43</v>
      </c>
      <c r="E1060" s="5">
        <v>-29325</v>
      </c>
      <c r="F1060" s="3" t="s">
        <v>174</v>
      </c>
      <c r="G1060" s="3" t="s">
        <v>2818</v>
      </c>
      <c r="H1060" s="2" t="s">
        <v>65</v>
      </c>
      <c r="I1060" s="2" t="s">
        <v>2819</v>
      </c>
      <c r="J1060" s="3" t="str">
        <f>HYPERLINK("https://www.boe.es/gazeta/dias/1819/09/16/pdfs/GMD-1819-113.pdf#page=8","Abrir facsímil")</f>
        <v>Abrir facsímil</v>
      </c>
      <c r="K1060" s="3" t="s">
        <v>67</v>
      </c>
    </row>
    <row r="1061" spans="1:11" ht="42" customHeight="1">
      <c r="A1061" s="2" t="s">
        <v>2820</v>
      </c>
      <c r="B1061" s="2" t="s">
        <v>2820</v>
      </c>
      <c r="C1061" s="2" t="s">
        <v>80</v>
      </c>
      <c r="D1061" s="2" t="s">
        <v>81</v>
      </c>
      <c r="E1061" s="5">
        <v>-29227</v>
      </c>
      <c r="F1061" s="3" t="s">
        <v>98</v>
      </c>
      <c r="G1061" s="3" t="s">
        <v>38</v>
      </c>
      <c r="H1061" s="2" t="s">
        <v>65</v>
      </c>
      <c r="I1061" s="2" t="s">
        <v>2821</v>
      </c>
      <c r="J1061" s="3" t="str">
        <f>HYPERLINK("https://www.boe.es/gazeta/dias/1819/12/23/pdfs/GMD-1819-157.pdf#page=5","Abrir facsímil")</f>
        <v>Abrir facsímil</v>
      </c>
      <c r="K1061" s="3" t="s">
        <v>67</v>
      </c>
    </row>
    <row r="1062" spans="1:11" ht="42" customHeight="1">
      <c r="A1062" s="2" t="s">
        <v>2822</v>
      </c>
      <c r="B1062" s="2" t="s">
        <v>2823</v>
      </c>
      <c r="C1062" s="2" t="s">
        <v>136</v>
      </c>
      <c r="D1062" s="2" t="s">
        <v>18</v>
      </c>
      <c r="E1062" s="5">
        <v>-29523</v>
      </c>
      <c r="F1062" s="3" t="s">
        <v>436</v>
      </c>
      <c r="G1062" s="3" t="s">
        <v>2178</v>
      </c>
      <c r="H1062" s="2" t="s">
        <v>65</v>
      </c>
      <c r="I1062" s="2" t="s">
        <v>2824</v>
      </c>
      <c r="J1062" s="3" t="str">
        <f>HYPERLINK("https://www.boe.es/gazeta/dias/1819/03/02/pdfs/GMD-1819-26.pdf#page=7","Abrir facsímil")</f>
        <v>Abrir facsímil</v>
      </c>
      <c r="K1062" s="3" t="s">
        <v>67</v>
      </c>
    </row>
    <row r="1063" spans="1:11" ht="42" customHeight="1">
      <c r="A1063" s="2" t="s">
        <v>2825</v>
      </c>
      <c r="B1063" s="2" t="s">
        <v>2826</v>
      </c>
      <c r="C1063" s="2" t="s">
        <v>136</v>
      </c>
      <c r="D1063" s="2" t="s">
        <v>18</v>
      </c>
      <c r="E1063" s="5">
        <v>-29547</v>
      </c>
      <c r="F1063" s="3" t="s">
        <v>238</v>
      </c>
      <c r="G1063" s="3" t="s">
        <v>55</v>
      </c>
      <c r="H1063" s="2" t="s">
        <v>65</v>
      </c>
      <c r="I1063" s="2" t="s">
        <v>2827</v>
      </c>
      <c r="J1063" s="3" t="str">
        <f>HYPERLINK("https://www.boe.es/gazeta/dias/1819/02/06/pdfs/GMD-1819-16.pdf#page=7","Abrir facsímil")</f>
        <v>Abrir facsímil</v>
      </c>
      <c r="K1063" s="3" t="s">
        <v>67</v>
      </c>
    </row>
    <row r="1064" spans="1:11" ht="42" customHeight="1">
      <c r="A1064" s="2" t="s">
        <v>2828</v>
      </c>
      <c r="B1064" s="2" t="s">
        <v>2829</v>
      </c>
      <c r="C1064" s="2" t="s">
        <v>80</v>
      </c>
      <c r="D1064" s="2" t="s">
        <v>454</v>
      </c>
      <c r="E1064" s="5">
        <v>-29324</v>
      </c>
      <c r="F1064" s="3" t="s">
        <v>914</v>
      </c>
      <c r="G1064" s="3" t="s">
        <v>102</v>
      </c>
      <c r="H1064" s="2" t="s">
        <v>65</v>
      </c>
      <c r="I1064" s="2" t="s">
        <v>2830</v>
      </c>
      <c r="J1064" s="3" t="str">
        <f>HYPERLINK("https://www.boe.es/gazeta/dias/1819/09/17/pdfs/GMD-1819-114E.pdf#page=3","Abrir facsímil")</f>
        <v>Abrir facsímil</v>
      </c>
      <c r="K1064" s="3" t="s">
        <v>67</v>
      </c>
    </row>
    <row r="1065" spans="1:11" ht="42" customHeight="1">
      <c r="A1065" s="2" t="s">
        <v>2831</v>
      </c>
      <c r="B1065" s="2" t="s">
        <v>2831</v>
      </c>
      <c r="C1065" s="2" t="s">
        <v>63</v>
      </c>
      <c r="D1065" s="2" t="s">
        <v>43</v>
      </c>
      <c r="E1065" s="5">
        <v>-29225</v>
      </c>
      <c r="F1065" s="3" t="s">
        <v>472</v>
      </c>
      <c r="G1065" s="3" t="s">
        <v>259</v>
      </c>
      <c r="H1065" s="2" t="s">
        <v>65</v>
      </c>
      <c r="I1065" s="2" t="s">
        <v>2832</v>
      </c>
      <c r="J1065" s="3" t="str">
        <f>HYPERLINK("https://www.boe.es/gazeta/dias/1819/12/25/pdfs/GMD-1819-158.pdf#page=2","Abrir facsímil")</f>
        <v>Abrir facsímil</v>
      </c>
      <c r="K1065" s="3" t="s">
        <v>67</v>
      </c>
    </row>
    <row r="1066" spans="1:11" ht="42" customHeight="1">
      <c r="A1066" s="2" t="s">
        <v>2833</v>
      </c>
      <c r="B1066" s="2" t="s">
        <v>2834</v>
      </c>
      <c r="C1066" s="2" t="s">
        <v>80</v>
      </c>
      <c r="D1066" s="2" t="s">
        <v>81</v>
      </c>
      <c r="E1066" s="5">
        <v>-29425</v>
      </c>
      <c r="F1066" s="3" t="s">
        <v>110</v>
      </c>
      <c r="G1066" s="3" t="s">
        <v>55</v>
      </c>
      <c r="H1066" s="2" t="s">
        <v>65</v>
      </c>
      <c r="I1066" s="2" t="s">
        <v>2835</v>
      </c>
      <c r="J1066" s="3" t="str">
        <f>HYPERLINK("https://www.boe.es/gazeta/dias/1819/06/08/pdfs/GMD-1819-68.pdf#page=7","Abrir facsímil")</f>
        <v>Abrir facsímil</v>
      </c>
      <c r="K1066" s="3" t="s">
        <v>67</v>
      </c>
    </row>
    <row r="1067" spans="1:11" ht="42" customHeight="1">
      <c r="A1067" s="2" t="s">
        <v>2836</v>
      </c>
      <c r="B1067" s="2" t="s">
        <v>2837</v>
      </c>
      <c r="C1067" s="2" t="s">
        <v>80</v>
      </c>
      <c r="D1067" s="2" t="s">
        <v>81</v>
      </c>
      <c r="E1067" s="5">
        <v>-29549</v>
      </c>
      <c r="F1067" s="3" t="s">
        <v>124</v>
      </c>
      <c r="G1067" s="3" t="s">
        <v>38</v>
      </c>
      <c r="H1067" s="2" t="s">
        <v>65</v>
      </c>
      <c r="I1067" s="2" t="s">
        <v>2838</v>
      </c>
      <c r="J1067" s="3" t="str">
        <f>HYPERLINK("https://www.boe.es/gazeta/dias/1819/02/04/pdfs/GMD-1819-15.pdf#page=5","Abrir facsímil")</f>
        <v>Abrir facsímil</v>
      </c>
      <c r="K1067" s="3" t="s">
        <v>67</v>
      </c>
    </row>
    <row r="1068" spans="1:11" ht="42" customHeight="1">
      <c r="A1068" s="2" t="s">
        <v>2839</v>
      </c>
      <c r="B1068" s="2" t="s">
        <v>2840</v>
      </c>
      <c r="C1068" s="2" t="s">
        <v>80</v>
      </c>
      <c r="D1068" s="2" t="s">
        <v>81</v>
      </c>
      <c r="E1068" s="5">
        <v>-29274</v>
      </c>
      <c r="F1068" s="3" t="s">
        <v>247</v>
      </c>
      <c r="G1068" s="3" t="s">
        <v>33</v>
      </c>
      <c r="H1068" s="2" t="s">
        <v>65</v>
      </c>
      <c r="I1068" s="2" t="s">
        <v>2841</v>
      </c>
      <c r="J1068" s="3" t="str">
        <f>HYPERLINK("https://www.boe.es/gazeta/dias/1819/11/06/pdfs/GMD-1819-137.pdf#page=6","Abrir facsímil")</f>
        <v>Abrir facsímil</v>
      </c>
      <c r="K1068" s="3" t="s">
        <v>67</v>
      </c>
    </row>
    <row r="1069" spans="1:11" ht="42" customHeight="1">
      <c r="A1069" s="2" t="s">
        <v>2842</v>
      </c>
      <c r="B1069" s="2" t="s">
        <v>2843</v>
      </c>
      <c r="C1069" s="2" t="s">
        <v>63</v>
      </c>
      <c r="D1069" s="2" t="s">
        <v>43</v>
      </c>
      <c r="E1069" s="5">
        <v>-29505</v>
      </c>
      <c r="F1069" s="3" t="s">
        <v>597</v>
      </c>
      <c r="G1069" s="3" t="s">
        <v>38</v>
      </c>
      <c r="H1069" s="2" t="s">
        <v>65</v>
      </c>
      <c r="I1069" s="2" t="s">
        <v>2844</v>
      </c>
      <c r="J1069" s="3" t="str">
        <f>HYPERLINK("https://www.boe.es/gazeta/dias/1819/03/20/pdfs/GMD-1819-34.pdf#page=5","Abrir facsímil")</f>
        <v>Abrir facsímil</v>
      </c>
      <c r="K1069" s="3" t="s">
        <v>67</v>
      </c>
    </row>
    <row r="1070" spans="1:11" ht="42" customHeight="1">
      <c r="A1070" s="2" t="s">
        <v>2845</v>
      </c>
      <c r="B1070" s="2" t="s">
        <v>2846</v>
      </c>
      <c r="C1070" s="2" t="s">
        <v>246</v>
      </c>
      <c r="D1070" s="2" t="s">
        <v>18</v>
      </c>
      <c r="E1070" s="5">
        <v>-29444</v>
      </c>
      <c r="F1070" s="3" t="s">
        <v>258</v>
      </c>
      <c r="G1070" s="3" t="s">
        <v>28</v>
      </c>
      <c r="H1070" s="2" t="s">
        <v>65</v>
      </c>
      <c r="I1070" s="2" t="s">
        <v>2847</v>
      </c>
      <c r="J1070" s="3" t="str">
        <f>HYPERLINK("https://www.boe.es/gazeta/dias/1819/05/20/pdfs/GMD-1819-60.pdf#page=8","Abrir facsímil")</f>
        <v>Abrir facsímil</v>
      </c>
      <c r="K1070" s="3" t="s">
        <v>67</v>
      </c>
    </row>
    <row r="1071" spans="1:11" ht="42" customHeight="1">
      <c r="A1071" s="2" t="s">
        <v>2848</v>
      </c>
      <c r="B1071" s="2" t="s">
        <v>2849</v>
      </c>
      <c r="C1071" s="2" t="s">
        <v>59</v>
      </c>
      <c r="D1071" s="2" t="s">
        <v>18</v>
      </c>
      <c r="E1071" s="5">
        <v>-29558</v>
      </c>
      <c r="F1071" s="3" t="s">
        <v>1463</v>
      </c>
      <c r="G1071" s="3" t="s">
        <v>33</v>
      </c>
      <c r="H1071" s="2" t="s">
        <v>65</v>
      </c>
      <c r="I1071" s="2" t="s">
        <v>2850</v>
      </c>
      <c r="J1071" s="3" t="str">
        <f>HYPERLINK("https://www.boe.es/gazeta/dias/1819/01/26/pdfs/GMD-1819-11.pdf#page=6","Abrir facsímil")</f>
        <v>Abrir facsímil</v>
      </c>
      <c r="K1071" s="3" t="s">
        <v>67</v>
      </c>
    </row>
    <row r="1072" spans="1:11" ht="42" customHeight="1">
      <c r="A1072" s="2" t="s">
        <v>2851</v>
      </c>
      <c r="B1072" s="2" t="s">
        <v>2852</v>
      </c>
      <c r="C1072" s="2" t="s">
        <v>80</v>
      </c>
      <c r="D1072" s="2" t="s">
        <v>454</v>
      </c>
      <c r="E1072" s="5">
        <v>-29287</v>
      </c>
      <c r="F1072" s="3" t="s">
        <v>455</v>
      </c>
      <c r="G1072" s="3" t="s">
        <v>481</v>
      </c>
      <c r="H1072" s="2" t="s">
        <v>65</v>
      </c>
      <c r="I1072" s="2" t="s">
        <v>2853</v>
      </c>
      <c r="J1072" s="3" t="str">
        <f>HYPERLINK("https://www.boe.es/gazeta/dias/1819/10/24/pdfs/GMD-1819-131E.pdf#page=8","Abrir facsímil")</f>
        <v>Abrir facsímil</v>
      </c>
      <c r="K1072" s="3" t="s">
        <v>67</v>
      </c>
    </row>
    <row r="1073" spans="1:11" ht="42" customHeight="1">
      <c r="A1073" s="2" t="s">
        <v>2854</v>
      </c>
      <c r="B1073" s="2" t="s">
        <v>2855</v>
      </c>
      <c r="C1073" s="2" t="s">
        <v>59</v>
      </c>
      <c r="D1073" s="2" t="s">
        <v>18</v>
      </c>
      <c r="E1073" s="5">
        <v>-29379</v>
      </c>
      <c r="F1073" s="3" t="s">
        <v>161</v>
      </c>
      <c r="G1073" s="3" t="s">
        <v>162</v>
      </c>
      <c r="H1073" s="2" t="s">
        <v>65</v>
      </c>
      <c r="I1073" s="2" t="s">
        <v>2856</v>
      </c>
      <c r="J1073" s="3" t="str">
        <f>HYPERLINK("https://www.boe.es/gazeta/dias/1819/07/24/pdfs/GMD-1819-89.pdf#page=5","Abrir facsímil")</f>
        <v>Abrir facsímil</v>
      </c>
      <c r="K1073" s="3" t="s">
        <v>67</v>
      </c>
    </row>
    <row r="1074" spans="1:11" ht="42" customHeight="1">
      <c r="A1074" s="2" t="s">
        <v>2857</v>
      </c>
      <c r="B1074" s="2" t="s">
        <v>2858</v>
      </c>
      <c r="C1074" s="2" t="s">
        <v>80</v>
      </c>
      <c r="D1074" s="2" t="s">
        <v>81</v>
      </c>
      <c r="E1074" s="5">
        <v>-29274</v>
      </c>
      <c r="F1074" s="3" t="s">
        <v>247</v>
      </c>
      <c r="G1074" s="3" t="s">
        <v>33</v>
      </c>
      <c r="H1074" s="2" t="s">
        <v>65</v>
      </c>
      <c r="I1074" s="2" t="s">
        <v>2859</v>
      </c>
      <c r="J1074" s="3" t="str">
        <f>HYPERLINK("https://www.boe.es/gazeta/dias/1819/11/06/pdfs/GMD-1819-137.pdf#page=6","Abrir facsímil")</f>
        <v>Abrir facsímil</v>
      </c>
      <c r="K1074" s="3" t="s">
        <v>67</v>
      </c>
    </row>
    <row r="1075" spans="1:11" ht="42" customHeight="1">
      <c r="A1075" s="2" t="s">
        <v>2860</v>
      </c>
      <c r="B1075" s="2" t="s">
        <v>2861</v>
      </c>
      <c r="C1075" s="2" t="s">
        <v>59</v>
      </c>
      <c r="D1075" s="2" t="s">
        <v>18</v>
      </c>
      <c r="E1075" s="5">
        <v>-29281</v>
      </c>
      <c r="F1075" s="3" t="s">
        <v>19</v>
      </c>
      <c r="G1075" s="3" t="s">
        <v>456</v>
      </c>
      <c r="H1075" s="2" t="s">
        <v>65</v>
      </c>
      <c r="I1075" s="2" t="s">
        <v>2862</v>
      </c>
      <c r="J1075" s="3" t="str">
        <f>HYPERLINK("https://www.boe.es/gazeta/dias/1819/10/30/pdfs/GMD-1819-134.pdf#page=9","Abrir facsímil")</f>
        <v>Abrir facsímil</v>
      </c>
      <c r="K1075" s="3" t="s">
        <v>67</v>
      </c>
    </row>
    <row r="1076" spans="1:11" ht="42" customHeight="1">
      <c r="A1076" s="2" t="s">
        <v>2863</v>
      </c>
      <c r="B1076" s="2" t="s">
        <v>2864</v>
      </c>
      <c r="C1076" s="2" t="s">
        <v>80</v>
      </c>
      <c r="D1076" s="2" t="s">
        <v>81</v>
      </c>
      <c r="E1076" s="5">
        <v>-29568</v>
      </c>
      <c r="F1076" s="3" t="s">
        <v>966</v>
      </c>
      <c r="G1076" s="3" t="s">
        <v>55</v>
      </c>
      <c r="H1076" s="2" t="s">
        <v>65</v>
      </c>
      <c r="I1076" s="2" t="s">
        <v>2865</v>
      </c>
      <c r="J1076" s="3" t="str">
        <f>HYPERLINK("https://www.boe.es/gazeta/dias/1819/01/16/pdfs/GMD-1819-7.pdf#page=7","Abrir facsímil")</f>
        <v>Abrir facsímil</v>
      </c>
      <c r="K1076" s="3" t="s">
        <v>67</v>
      </c>
    </row>
    <row r="1077" spans="1:11" ht="42" customHeight="1">
      <c r="A1077" s="2" t="s">
        <v>2863</v>
      </c>
      <c r="B1077" s="2" t="s">
        <v>2864</v>
      </c>
      <c r="C1077" s="2" t="s">
        <v>80</v>
      </c>
      <c r="D1077" s="2" t="s">
        <v>81</v>
      </c>
      <c r="E1077" s="5">
        <v>-29418</v>
      </c>
      <c r="F1077" s="3" t="s">
        <v>447</v>
      </c>
      <c r="G1077" s="3" t="s">
        <v>28</v>
      </c>
      <c r="H1077" s="2" t="s">
        <v>65</v>
      </c>
      <c r="I1077" s="2" t="s">
        <v>2866</v>
      </c>
      <c r="J1077" s="3" t="str">
        <f>HYPERLINK("https://www.boe.es/gazeta/dias/1819/06/15/pdfs/GMD-1819-72.pdf#page=8","Abrir facsímil")</f>
        <v>Abrir facsímil</v>
      </c>
      <c r="K1077" s="3" t="s">
        <v>67</v>
      </c>
    </row>
    <row r="1078" spans="1:11" ht="42" customHeight="1">
      <c r="A1078" s="2" t="s">
        <v>2867</v>
      </c>
      <c r="B1078" s="2" t="s">
        <v>2868</v>
      </c>
      <c r="C1078" s="2" t="s">
        <v>80</v>
      </c>
      <c r="D1078" s="2" t="s">
        <v>81</v>
      </c>
      <c r="E1078" s="5">
        <v>-29500</v>
      </c>
      <c r="F1078" s="3" t="s">
        <v>212</v>
      </c>
      <c r="G1078" s="3" t="s">
        <v>55</v>
      </c>
      <c r="H1078" s="2" t="s">
        <v>21</v>
      </c>
      <c r="I1078" s="2" t="s">
        <v>2869</v>
      </c>
      <c r="J1078" s="3" t="str">
        <f>HYPERLINK("https://www.boe.es/gazeta/dias/1819/03/25/pdfs/GMD-1819-36.pdf#page=7","Abrir facsímil")</f>
        <v>Abrir facsímil</v>
      </c>
      <c r="K1078" s="3" t="s">
        <v>23</v>
      </c>
    </row>
    <row r="1079" spans="1:11" ht="42" customHeight="1">
      <c r="A1079" s="2" t="s">
        <v>2870</v>
      </c>
      <c r="B1079" s="2" t="s">
        <v>2871</v>
      </c>
      <c r="C1079" s="2" t="s">
        <v>80</v>
      </c>
      <c r="D1079" s="2" t="s">
        <v>81</v>
      </c>
      <c r="E1079" s="5">
        <v>-29402</v>
      </c>
      <c r="F1079" s="3" t="s">
        <v>1091</v>
      </c>
      <c r="G1079" s="3" t="s">
        <v>102</v>
      </c>
      <c r="H1079" s="2" t="s">
        <v>65</v>
      </c>
      <c r="I1079" s="2" t="s">
        <v>2872</v>
      </c>
      <c r="J1079" s="3" t="str">
        <f>HYPERLINK("https://www.boe.es/gazeta/dias/1819/07/01/pdfs/GMD-1819-79.pdf#page=3","Abrir facsímil")</f>
        <v>Abrir facsímil</v>
      </c>
      <c r="K1079" s="3" t="s">
        <v>67</v>
      </c>
    </row>
    <row r="1080" spans="1:11" ht="42" customHeight="1">
      <c r="A1080" s="2" t="s">
        <v>2873</v>
      </c>
      <c r="B1080" s="2" t="s">
        <v>2874</v>
      </c>
      <c r="C1080" s="2" t="s">
        <v>59</v>
      </c>
      <c r="D1080" s="2" t="s">
        <v>18</v>
      </c>
      <c r="E1080" s="5">
        <v>-29402</v>
      </c>
      <c r="F1080" s="3" t="s">
        <v>1091</v>
      </c>
      <c r="G1080" s="3" t="s">
        <v>296</v>
      </c>
      <c r="H1080" s="2" t="s">
        <v>65</v>
      </c>
      <c r="I1080" s="2" t="s">
        <v>2875</v>
      </c>
      <c r="J1080" s="3" t="str">
        <f>HYPERLINK("https://www.boe.es/gazeta/dias/1819/07/01/pdfs/GMD-1819-79.pdf#page=4","Abrir facsímil")</f>
        <v>Abrir facsímil</v>
      </c>
      <c r="K1080" s="3" t="s">
        <v>67</v>
      </c>
    </row>
    <row r="1081" spans="1:11" ht="42" customHeight="1">
      <c r="A1081" s="2" t="s">
        <v>2876</v>
      </c>
      <c r="B1081" s="2" t="s">
        <v>2877</v>
      </c>
      <c r="C1081" s="2" t="s">
        <v>59</v>
      </c>
      <c r="D1081" s="2" t="s">
        <v>18</v>
      </c>
      <c r="E1081" s="5">
        <v>-29421</v>
      </c>
      <c r="F1081" s="3" t="s">
        <v>1972</v>
      </c>
      <c r="G1081" s="3" t="s">
        <v>1973</v>
      </c>
      <c r="H1081" s="2" t="s">
        <v>65</v>
      </c>
      <c r="I1081" s="2" t="s">
        <v>2878</v>
      </c>
      <c r="J1081" s="3" t="str">
        <f>HYPERLINK("https://www.boe.es/gazeta/dias/1819/06/12/pdfs/GMD-1819-70.pdf#page=6","Abrir facsímil")</f>
        <v>Abrir facsímil</v>
      </c>
      <c r="K1081" s="3" t="s">
        <v>67</v>
      </c>
    </row>
    <row r="1082" spans="1:11" ht="42" customHeight="1">
      <c r="A1082" s="2" t="s">
        <v>2879</v>
      </c>
      <c r="B1082" s="2" t="s">
        <v>2880</v>
      </c>
      <c r="C1082" s="2" t="s">
        <v>26</v>
      </c>
      <c r="D1082" s="2" t="s">
        <v>18</v>
      </c>
      <c r="E1082" s="5">
        <v>-29430</v>
      </c>
      <c r="F1082" s="3" t="s">
        <v>178</v>
      </c>
      <c r="G1082" s="3" t="s">
        <v>33</v>
      </c>
      <c r="H1082" s="2" t="s">
        <v>65</v>
      </c>
      <c r="I1082" s="2" t="s">
        <v>2881</v>
      </c>
      <c r="J1082" s="3" t="str">
        <f>HYPERLINK("https://www.boe.es/gazeta/dias/1819/06/03/pdfs/GMD-1819-66.pdf#page=6","Abrir facsímil")</f>
        <v>Abrir facsímil</v>
      </c>
      <c r="K1082" s="3" t="s">
        <v>67</v>
      </c>
    </row>
    <row r="1083" spans="1:11" ht="42" customHeight="1">
      <c r="A1083" s="2" t="s">
        <v>2882</v>
      </c>
      <c r="B1083" s="2" t="s">
        <v>2883</v>
      </c>
      <c r="C1083" s="2" t="s">
        <v>80</v>
      </c>
      <c r="D1083" s="2" t="s">
        <v>81</v>
      </c>
      <c r="E1083" s="5">
        <v>-29481</v>
      </c>
      <c r="F1083" s="3" t="s">
        <v>1504</v>
      </c>
      <c r="G1083" s="3" t="s">
        <v>33</v>
      </c>
      <c r="H1083" s="2" t="s">
        <v>65</v>
      </c>
      <c r="I1083" s="2" t="s">
        <v>2884</v>
      </c>
      <c r="J1083" s="3" t="str">
        <f>HYPERLINK("https://www.boe.es/gazeta/dias/1819/04/13/pdfs/GMD-1819-44.pdf#page=6","Abrir facsímil")</f>
        <v>Abrir facsímil</v>
      </c>
      <c r="K1083" s="3" t="s">
        <v>67</v>
      </c>
    </row>
    <row r="1084" spans="1:11" ht="42" customHeight="1">
      <c r="A1084" s="2" t="s">
        <v>2885</v>
      </c>
      <c r="B1084" s="2" t="s">
        <v>2886</v>
      </c>
      <c r="C1084" s="2" t="s">
        <v>80</v>
      </c>
      <c r="D1084" s="2" t="s">
        <v>454</v>
      </c>
      <c r="E1084" s="5">
        <v>-29287</v>
      </c>
      <c r="F1084" s="3" t="s">
        <v>455</v>
      </c>
      <c r="G1084" s="3" t="s">
        <v>481</v>
      </c>
      <c r="H1084" s="2" t="s">
        <v>65</v>
      </c>
      <c r="I1084" s="2" t="s">
        <v>2887</v>
      </c>
      <c r="J1084" s="3" t="str">
        <f>HYPERLINK("https://www.boe.es/gazeta/dias/1819/10/24/pdfs/GMD-1819-131E.pdf#page=8","Abrir facsímil")</f>
        <v>Abrir facsímil</v>
      </c>
      <c r="K1084" s="3" t="s">
        <v>67</v>
      </c>
    </row>
    <row r="1085" spans="1:11" ht="42" customHeight="1">
      <c r="A1085" s="2" t="s">
        <v>2888</v>
      </c>
      <c r="B1085" s="2" t="s">
        <v>2889</v>
      </c>
      <c r="C1085" s="2" t="s">
        <v>59</v>
      </c>
      <c r="D1085" s="2" t="s">
        <v>18</v>
      </c>
      <c r="E1085" s="5">
        <v>-29271</v>
      </c>
      <c r="F1085" s="3" t="s">
        <v>32</v>
      </c>
      <c r="G1085" s="3" t="s">
        <v>33</v>
      </c>
      <c r="H1085" s="2" t="s">
        <v>65</v>
      </c>
      <c r="I1085" s="2" t="s">
        <v>2890</v>
      </c>
      <c r="J1085" s="3" t="str">
        <f>HYPERLINK("https://www.boe.es/gazeta/dias/1819/11/09/pdfs/GMD-1819-138.pdf#page=6","Abrir facsímil")</f>
        <v>Abrir facsímil</v>
      </c>
      <c r="K1085" s="3" t="s">
        <v>67</v>
      </c>
    </row>
    <row r="1086" spans="1:11" ht="42" customHeight="1">
      <c r="A1086" s="2" t="s">
        <v>2891</v>
      </c>
      <c r="B1086" s="2" t="s">
        <v>2891</v>
      </c>
      <c r="C1086" s="2" t="s">
        <v>59</v>
      </c>
      <c r="D1086" s="2" t="s">
        <v>18</v>
      </c>
      <c r="E1086" s="5">
        <v>-29530</v>
      </c>
      <c r="F1086" s="3" t="s">
        <v>202</v>
      </c>
      <c r="G1086" s="3" t="s">
        <v>1487</v>
      </c>
      <c r="H1086" s="2" t="s">
        <v>65</v>
      </c>
      <c r="I1086" s="2" t="s">
        <v>2892</v>
      </c>
      <c r="J1086" s="3" t="str">
        <f>HYPERLINK("https://www.boe.es/gazeta/dias/1819/02/23/pdfs/GMD-1819-23.pdf#page=11","Abrir facsímil")</f>
        <v>Abrir facsímil</v>
      </c>
      <c r="K1086" s="3" t="s">
        <v>67</v>
      </c>
    </row>
    <row r="1087" spans="1:11" ht="42" customHeight="1">
      <c r="A1087" s="2" t="s">
        <v>2893</v>
      </c>
      <c r="B1087" s="2" t="s">
        <v>2894</v>
      </c>
      <c r="C1087" s="2" t="s">
        <v>80</v>
      </c>
      <c r="D1087" s="2" t="s">
        <v>81</v>
      </c>
      <c r="E1087" s="5">
        <v>-29575</v>
      </c>
      <c r="F1087" s="3" t="s">
        <v>77</v>
      </c>
      <c r="G1087" s="3" t="s">
        <v>55</v>
      </c>
      <c r="H1087" s="2" t="s">
        <v>21</v>
      </c>
      <c r="I1087" s="2" t="s">
        <v>2895</v>
      </c>
      <c r="J1087" s="3" t="str">
        <f>HYPERLINK("https://www.boe.es/gazeta/dias/1819/01/09/pdfs/GMD-1819-4.pdf#page=7","Abrir facsímil")</f>
        <v>Abrir facsímil</v>
      </c>
      <c r="K1087" s="3" t="s">
        <v>23</v>
      </c>
    </row>
    <row r="1088" spans="1:11" ht="42" customHeight="1">
      <c r="A1088" s="2" t="s">
        <v>2896</v>
      </c>
      <c r="B1088" s="2" t="s">
        <v>2897</v>
      </c>
      <c r="C1088" s="2" t="s">
        <v>26</v>
      </c>
      <c r="D1088" s="2" t="s">
        <v>18</v>
      </c>
      <c r="E1088" s="5">
        <v>-29290</v>
      </c>
      <c r="F1088" s="3" t="s">
        <v>622</v>
      </c>
      <c r="G1088" s="3" t="s">
        <v>55</v>
      </c>
      <c r="H1088" s="2" t="s">
        <v>65</v>
      </c>
      <c r="I1088" s="2" t="s">
        <v>2898</v>
      </c>
      <c r="J1088" s="3" t="str">
        <f>HYPERLINK("https://www.boe.es/gazeta/dias/1819/10/21/pdfs/GMD-1819-129.pdf#page=7","Abrir facsímil")</f>
        <v>Abrir facsímil</v>
      </c>
      <c r="K1088" s="3" t="s">
        <v>67</v>
      </c>
    </row>
    <row r="1089" spans="1:11" ht="42" customHeight="1">
      <c r="A1089" s="2" t="s">
        <v>2899</v>
      </c>
      <c r="B1089" s="2" t="s">
        <v>2900</v>
      </c>
      <c r="C1089" s="2" t="s">
        <v>80</v>
      </c>
      <c r="D1089" s="2" t="s">
        <v>81</v>
      </c>
      <c r="E1089" s="5">
        <v>-29479</v>
      </c>
      <c r="F1089" s="3" t="s">
        <v>979</v>
      </c>
      <c r="G1089" s="3" t="s">
        <v>296</v>
      </c>
      <c r="H1089" s="2" t="s">
        <v>65</v>
      </c>
      <c r="I1089" s="2" t="s">
        <v>2901</v>
      </c>
      <c r="J1089" s="3" t="str">
        <f>HYPERLINK("https://www.boe.es/gazeta/dias/1819/04/15/pdfs/GMD-1819-45.pdf#page=4","Abrir facsímil")</f>
        <v>Abrir facsímil</v>
      </c>
      <c r="K1089" s="3" t="s">
        <v>67</v>
      </c>
    </row>
    <row r="1090" spans="1:11" ht="42" customHeight="1">
      <c r="A1090" s="2" t="s">
        <v>2902</v>
      </c>
      <c r="B1090" s="2" t="s">
        <v>2902</v>
      </c>
      <c r="C1090" s="2" t="s">
        <v>215</v>
      </c>
      <c r="D1090" s="2" t="s">
        <v>18</v>
      </c>
      <c r="E1090" s="5">
        <v>-29516</v>
      </c>
      <c r="F1090" s="3" t="s">
        <v>137</v>
      </c>
      <c r="G1090" s="3" t="s">
        <v>239</v>
      </c>
      <c r="H1090" s="2" t="s">
        <v>65</v>
      </c>
      <c r="I1090" s="2" t="s">
        <v>2903</v>
      </c>
      <c r="J1090" s="3" t="str">
        <f>HYPERLINK("https://www.boe.es/gazeta/dias/1819/03/09/pdfs/GMD-1819-29.pdf#page=1","Abrir facsímil")</f>
        <v>Abrir facsímil</v>
      </c>
      <c r="K1090" s="3" t="s">
        <v>67</v>
      </c>
    </row>
    <row r="1091" spans="1:11" ht="42" customHeight="1">
      <c r="A1091" s="2" t="s">
        <v>2904</v>
      </c>
      <c r="B1091" s="2" t="s">
        <v>2905</v>
      </c>
      <c r="C1091" s="2" t="s">
        <v>63</v>
      </c>
      <c r="D1091" s="2" t="s">
        <v>43</v>
      </c>
      <c r="E1091" s="5">
        <v>-29516</v>
      </c>
      <c r="F1091" s="3" t="s">
        <v>137</v>
      </c>
      <c r="G1091" s="3" t="s">
        <v>20</v>
      </c>
      <c r="H1091" s="2" t="s">
        <v>65</v>
      </c>
      <c r="I1091" s="2" t="s">
        <v>2906</v>
      </c>
      <c r="J1091" s="3" t="str">
        <f>HYPERLINK("https://www.boe.es/gazeta/dias/1819/03/09/pdfs/GMD-1819-29.pdf#page=10","Abrir facsímil")</f>
        <v>Abrir facsímil</v>
      </c>
      <c r="K1091" s="3" t="s">
        <v>67</v>
      </c>
    </row>
    <row r="1092" spans="1:11" ht="42" customHeight="1">
      <c r="A1092" s="2" t="s">
        <v>2907</v>
      </c>
      <c r="B1092" s="2" t="s">
        <v>2908</v>
      </c>
      <c r="C1092" s="2" t="s">
        <v>80</v>
      </c>
      <c r="D1092" s="2" t="s">
        <v>81</v>
      </c>
      <c r="E1092" s="5">
        <v>-29575</v>
      </c>
      <c r="F1092" s="3" t="s">
        <v>77</v>
      </c>
      <c r="G1092" s="3" t="s">
        <v>28</v>
      </c>
      <c r="H1092" s="2" t="s">
        <v>65</v>
      </c>
      <c r="I1092" s="2" t="s">
        <v>2909</v>
      </c>
      <c r="J1092" s="3" t="str">
        <f>HYPERLINK("https://www.boe.es/gazeta/dias/1819/01/09/pdfs/GMD-1819-4.pdf#page=8","Abrir facsímil")</f>
        <v>Abrir facsímil</v>
      </c>
      <c r="K1092" s="3" t="s">
        <v>67</v>
      </c>
    </row>
    <row r="1093" spans="1:11" ht="42" customHeight="1">
      <c r="A1093" s="2" t="s">
        <v>2910</v>
      </c>
      <c r="B1093" s="2" t="s">
        <v>2911</v>
      </c>
      <c r="C1093" s="2" t="s">
        <v>63</v>
      </c>
      <c r="D1093" s="2" t="s">
        <v>43</v>
      </c>
      <c r="E1093" s="5">
        <v>-29253</v>
      </c>
      <c r="F1093" s="3" t="s">
        <v>242</v>
      </c>
      <c r="G1093" s="3" t="s">
        <v>1048</v>
      </c>
      <c r="H1093" s="2" t="s">
        <v>65</v>
      </c>
      <c r="I1093" s="2" t="s">
        <v>2912</v>
      </c>
      <c r="J1093" s="3" t="str">
        <f>HYPERLINK("https://www.boe.es/gazeta/dias/1819/11/27/pdfs/GMD-1819-146.pdf#page=5","Abrir facsímil")</f>
        <v>Abrir facsímil</v>
      </c>
      <c r="K1093" s="3" t="s">
        <v>67</v>
      </c>
    </row>
    <row r="1094" spans="1:11" ht="42" customHeight="1">
      <c r="A1094" s="2" t="s">
        <v>2913</v>
      </c>
      <c r="B1094" s="2" t="s">
        <v>2914</v>
      </c>
      <c r="C1094" s="2" t="s">
        <v>215</v>
      </c>
      <c r="D1094" s="2" t="s">
        <v>18</v>
      </c>
      <c r="E1094" s="5">
        <v>-29423</v>
      </c>
      <c r="F1094" s="3" t="s">
        <v>1205</v>
      </c>
      <c r="G1094" s="3" t="s">
        <v>2915</v>
      </c>
      <c r="H1094" s="2" t="s">
        <v>65</v>
      </c>
      <c r="I1094" s="2" t="s">
        <v>2916</v>
      </c>
      <c r="J1094" s="3" t="str">
        <f>HYPERLINK("https://www.boe.es/gazeta/dias/1819/06/10/pdfs/GMD-1819-69.pdf#page=6","Abrir facsímil")</f>
        <v>Abrir facsímil</v>
      </c>
      <c r="K1094" s="3" t="s">
        <v>67</v>
      </c>
    </row>
    <row r="1095" spans="1:11" ht="42" customHeight="1">
      <c r="A1095" s="2" t="s">
        <v>2917</v>
      </c>
      <c r="B1095" s="2" t="s">
        <v>2918</v>
      </c>
      <c r="C1095" s="2" t="s">
        <v>246</v>
      </c>
      <c r="D1095" s="2" t="s">
        <v>18</v>
      </c>
      <c r="E1095" s="5">
        <v>-29379</v>
      </c>
      <c r="F1095" s="3" t="s">
        <v>161</v>
      </c>
      <c r="G1095" s="3" t="s">
        <v>28</v>
      </c>
      <c r="H1095" s="2" t="s">
        <v>21</v>
      </c>
      <c r="I1095" s="2" t="s">
        <v>2919</v>
      </c>
      <c r="J1095" s="3" t="str">
        <f>HYPERLINK("https://www.boe.es/gazeta/dias/1819/07/24/pdfs/GMD-1819-89.pdf#page=8","Abrir facsímil")</f>
        <v>Abrir facsímil</v>
      </c>
      <c r="K1095" s="3" t="s">
        <v>23</v>
      </c>
    </row>
    <row r="1096" spans="1:11" ht="42" customHeight="1">
      <c r="A1096" s="2" t="s">
        <v>2920</v>
      </c>
      <c r="B1096" s="2" t="s">
        <v>2921</v>
      </c>
      <c r="C1096" s="2" t="s">
        <v>17</v>
      </c>
      <c r="D1096" s="2" t="s">
        <v>18</v>
      </c>
      <c r="E1096" s="5">
        <v>-29542</v>
      </c>
      <c r="F1096" s="3" t="s">
        <v>607</v>
      </c>
      <c r="G1096" s="3" t="s">
        <v>94</v>
      </c>
      <c r="H1096" s="2" t="s">
        <v>65</v>
      </c>
      <c r="I1096" s="2" t="s">
        <v>2922</v>
      </c>
      <c r="J1096" s="3" t="str">
        <f>HYPERLINK("https://www.boe.es/gazeta/dias/1819/02/11/pdfs/GMD-1819-18.pdf#page=11","Abrir facsímil")</f>
        <v>Abrir facsímil</v>
      </c>
      <c r="K1096" s="3" t="s">
        <v>67</v>
      </c>
    </row>
    <row r="1097" spans="1:11" ht="42" customHeight="1">
      <c r="A1097" s="2" t="s">
        <v>2923</v>
      </c>
      <c r="B1097" s="2" t="s">
        <v>2924</v>
      </c>
      <c r="C1097" s="2" t="s">
        <v>63</v>
      </c>
      <c r="D1097" s="2" t="s">
        <v>43</v>
      </c>
      <c r="E1097" s="5">
        <v>-29325</v>
      </c>
      <c r="F1097" s="3" t="s">
        <v>174</v>
      </c>
      <c r="G1097" s="3" t="s">
        <v>33</v>
      </c>
      <c r="H1097" s="2" t="s">
        <v>65</v>
      </c>
      <c r="I1097" s="2" t="s">
        <v>2925</v>
      </c>
      <c r="J1097" s="3" t="str">
        <f>HYPERLINK("https://www.boe.es/gazeta/dias/1819/09/16/pdfs/GMD-1819-113.pdf#page=6","Abrir facsímil")</f>
        <v>Abrir facsímil</v>
      </c>
      <c r="K1097" s="3" t="s">
        <v>67</v>
      </c>
    </row>
    <row r="1098" spans="1:11" ht="42" customHeight="1">
      <c r="A1098" s="2" t="s">
        <v>2926</v>
      </c>
      <c r="B1098" s="2" t="s">
        <v>2927</v>
      </c>
      <c r="C1098" s="2" t="s">
        <v>17</v>
      </c>
      <c r="D1098" s="2" t="s">
        <v>18</v>
      </c>
      <c r="E1098" s="5">
        <v>-29264</v>
      </c>
      <c r="F1098" s="3" t="s">
        <v>37</v>
      </c>
      <c r="G1098" s="3" t="s">
        <v>33</v>
      </c>
      <c r="H1098" s="2" t="s">
        <v>21</v>
      </c>
      <c r="I1098" s="2" t="s">
        <v>2928</v>
      </c>
      <c r="J1098" s="3" t="str">
        <f>HYPERLINK("https://www.boe.es/gazeta/dias/1819/11/16/pdfs/GMD-1819-141.pdf#page=6","Abrir facsímil")</f>
        <v>Abrir facsímil</v>
      </c>
      <c r="K1098" s="3" t="s">
        <v>23</v>
      </c>
    </row>
    <row r="1099" spans="1:11" ht="42" customHeight="1">
      <c r="A1099" s="2" t="s">
        <v>2929</v>
      </c>
      <c r="B1099" s="2" t="s">
        <v>2930</v>
      </c>
      <c r="C1099" s="2" t="s">
        <v>80</v>
      </c>
      <c r="D1099" s="2" t="s">
        <v>81</v>
      </c>
      <c r="E1099" s="5">
        <v>-29570</v>
      </c>
      <c r="F1099" s="3" t="s">
        <v>2008</v>
      </c>
      <c r="G1099" s="3" t="s">
        <v>55</v>
      </c>
      <c r="H1099" s="2" t="s">
        <v>65</v>
      </c>
      <c r="I1099" s="2" t="s">
        <v>2931</v>
      </c>
      <c r="J1099" s="3" t="str">
        <f>HYPERLINK("https://www.boe.es/gazeta/dias/1819/01/14/pdfs/GMD-1819-6.pdf#page=7","Abrir facsímil")</f>
        <v>Abrir facsímil</v>
      </c>
      <c r="K1099" s="3" t="s">
        <v>67</v>
      </c>
    </row>
    <row r="1100" spans="1:11" ht="42" customHeight="1">
      <c r="A1100" s="2" t="s">
        <v>2932</v>
      </c>
      <c r="B1100" s="2" t="s">
        <v>2933</v>
      </c>
      <c r="C1100" s="2" t="s">
        <v>80</v>
      </c>
      <c r="D1100" s="2" t="s">
        <v>81</v>
      </c>
      <c r="E1100" s="5">
        <v>-29572</v>
      </c>
      <c r="F1100" s="3" t="s">
        <v>589</v>
      </c>
      <c r="G1100" s="3" t="s">
        <v>2934</v>
      </c>
      <c r="H1100" s="2" t="s">
        <v>65</v>
      </c>
      <c r="I1100" s="2" t="s">
        <v>2935</v>
      </c>
      <c r="J1100" s="3" t="str">
        <f>HYPERLINK("https://www.boe.es/gazeta/dias/1819/01/12/pdfs/GMD-1819-5.pdf#page=5","Abrir facsímil")</f>
        <v>Abrir facsímil</v>
      </c>
      <c r="K1100" s="3" t="s">
        <v>67</v>
      </c>
    </row>
    <row r="1101" spans="1:11" ht="42" customHeight="1">
      <c r="A1101" s="2" t="s">
        <v>2936</v>
      </c>
      <c r="B1101" s="2" t="s">
        <v>2937</v>
      </c>
      <c r="C1101" s="2" t="s">
        <v>246</v>
      </c>
      <c r="D1101" s="2" t="s">
        <v>18</v>
      </c>
      <c r="E1101" s="5">
        <v>-29572</v>
      </c>
      <c r="F1101" s="3" t="s">
        <v>589</v>
      </c>
      <c r="G1101" s="3" t="s">
        <v>33</v>
      </c>
      <c r="H1101" s="2" t="s">
        <v>65</v>
      </c>
      <c r="I1101" s="2" t="s">
        <v>2938</v>
      </c>
      <c r="J1101" s="3" t="str">
        <f>HYPERLINK("https://www.boe.es/gazeta/dias/1819/01/12/pdfs/GMD-1819-5.pdf#page=6","Abrir facsímil")</f>
        <v>Abrir facsímil</v>
      </c>
      <c r="K1101" s="3" t="s">
        <v>67</v>
      </c>
    </row>
    <row r="1102" spans="1:11" ht="42" customHeight="1">
      <c r="A1102" s="2" t="s">
        <v>2939</v>
      </c>
      <c r="B1102" s="2" t="s">
        <v>2940</v>
      </c>
      <c r="C1102" s="2" t="s">
        <v>80</v>
      </c>
      <c r="D1102" s="2" t="s">
        <v>81</v>
      </c>
      <c r="E1102" s="5">
        <v>-29535</v>
      </c>
      <c r="F1102" s="3" t="s">
        <v>200</v>
      </c>
      <c r="G1102" s="3" t="s">
        <v>296</v>
      </c>
      <c r="H1102" s="2" t="s">
        <v>65</v>
      </c>
      <c r="I1102" s="2" t="s">
        <v>2941</v>
      </c>
      <c r="J1102" s="3" t="str">
        <f>HYPERLINK("https://www.boe.es/gazeta/dias/1819/02/18/pdfs/GMD-1819-21.pdf#page=4","Abrir facsímil")</f>
        <v>Abrir facsímil</v>
      </c>
      <c r="K1102" s="3" t="s">
        <v>67</v>
      </c>
    </row>
    <row r="1103" spans="1:11" ht="42" customHeight="1">
      <c r="A1103" s="2" t="s">
        <v>2939</v>
      </c>
      <c r="B1103" s="2" t="s">
        <v>2940</v>
      </c>
      <c r="C1103" s="2" t="s">
        <v>80</v>
      </c>
      <c r="D1103" s="2" t="s">
        <v>81</v>
      </c>
      <c r="E1103" s="5">
        <v>-29418</v>
      </c>
      <c r="F1103" s="3" t="s">
        <v>447</v>
      </c>
      <c r="G1103" s="3" t="s">
        <v>28</v>
      </c>
      <c r="H1103" s="2" t="s">
        <v>65</v>
      </c>
      <c r="I1103" s="2" t="s">
        <v>2942</v>
      </c>
      <c r="J1103" s="3" t="str">
        <f>HYPERLINK("https://www.boe.es/gazeta/dias/1819/06/15/pdfs/GMD-1819-72.pdf#page=8","Abrir facsímil")</f>
        <v>Abrir facsímil</v>
      </c>
      <c r="K1103" s="3" t="s">
        <v>67</v>
      </c>
    </row>
    <row r="1104" spans="1:11" ht="42" customHeight="1">
      <c r="A1104" s="2" t="s">
        <v>2939</v>
      </c>
      <c r="B1104" s="2" t="s">
        <v>2940</v>
      </c>
      <c r="C1104" s="2" t="s">
        <v>80</v>
      </c>
      <c r="D1104" s="2" t="s">
        <v>81</v>
      </c>
      <c r="E1104" s="5">
        <v>-29269</v>
      </c>
      <c r="F1104" s="3" t="s">
        <v>565</v>
      </c>
      <c r="G1104" s="3" t="s">
        <v>33</v>
      </c>
      <c r="H1104" s="2" t="s">
        <v>65</v>
      </c>
      <c r="I1104" s="2" t="s">
        <v>2943</v>
      </c>
      <c r="J1104" s="3" t="str">
        <f>HYPERLINK("https://www.boe.es/gazeta/dias/1819/11/11/pdfs/GMD-1819-139.pdf#page=6","Abrir facsímil")</f>
        <v>Abrir facsímil</v>
      </c>
      <c r="K1104" s="3" t="s">
        <v>67</v>
      </c>
    </row>
    <row r="1105" spans="1:11" ht="42" customHeight="1">
      <c r="A1105" s="2" t="s">
        <v>2939</v>
      </c>
      <c r="B1105" s="2" t="s">
        <v>2940</v>
      </c>
      <c r="C1105" s="2" t="s">
        <v>80</v>
      </c>
      <c r="D1105" s="2" t="s">
        <v>81</v>
      </c>
      <c r="E1105" s="5">
        <v>-29264</v>
      </c>
      <c r="F1105" s="3" t="s">
        <v>37</v>
      </c>
      <c r="G1105" s="3" t="s">
        <v>20</v>
      </c>
      <c r="H1105" s="2" t="s">
        <v>65</v>
      </c>
      <c r="I1105" s="2" t="s">
        <v>2944</v>
      </c>
      <c r="J1105" s="3" t="str">
        <f>HYPERLINK("https://www.boe.es/gazeta/dias/1819/11/16/pdfs/GMD-1819-141.pdf#page=10","Abrir facsímil")</f>
        <v>Abrir facsímil</v>
      </c>
      <c r="K1105" s="3" t="s">
        <v>67</v>
      </c>
    </row>
    <row r="1106" spans="1:11" ht="42" customHeight="1">
      <c r="A1106" s="2" t="s">
        <v>2939</v>
      </c>
      <c r="B1106" s="2" t="s">
        <v>2940</v>
      </c>
      <c r="C1106" s="2" t="s">
        <v>80</v>
      </c>
      <c r="D1106" s="2" t="s">
        <v>81</v>
      </c>
      <c r="E1106" s="5">
        <v>-29225</v>
      </c>
      <c r="F1106" s="3" t="s">
        <v>472</v>
      </c>
      <c r="G1106" s="3" t="s">
        <v>33</v>
      </c>
      <c r="H1106" s="2" t="s">
        <v>65</v>
      </c>
      <c r="I1106" s="2" t="s">
        <v>2945</v>
      </c>
      <c r="J1106" s="3" t="str">
        <f>HYPERLINK("https://www.boe.es/gazeta/dias/1819/12/25/pdfs/GMD-1819-158.pdf#page=6","Abrir facsímil")</f>
        <v>Abrir facsímil</v>
      </c>
      <c r="K1106" s="3" t="s">
        <v>67</v>
      </c>
    </row>
    <row r="1107" spans="1:11" ht="42" customHeight="1">
      <c r="A1107" s="2" t="s">
        <v>2939</v>
      </c>
      <c r="B1107" s="2" t="s">
        <v>2940</v>
      </c>
      <c r="C1107" s="2" t="s">
        <v>80</v>
      </c>
      <c r="D1107" s="2" t="s">
        <v>81</v>
      </c>
      <c r="E1107" s="5">
        <v>-29220</v>
      </c>
      <c r="F1107" s="3" t="s">
        <v>397</v>
      </c>
      <c r="G1107" s="3" t="s">
        <v>33</v>
      </c>
      <c r="H1107" s="2" t="s">
        <v>65</v>
      </c>
      <c r="I1107" s="2" t="s">
        <v>2946</v>
      </c>
      <c r="J1107" s="3" t="str">
        <f>HYPERLINK("https://www.boe.es/gazeta/dias/1819/12/30/pdfs/GMD-1819-160.pdf#page=6","Abrir facsímil")</f>
        <v>Abrir facsímil</v>
      </c>
      <c r="K1107" s="3" t="s">
        <v>67</v>
      </c>
    </row>
    <row r="1108" spans="1:11" ht="42" customHeight="1">
      <c r="A1108" s="2" t="s">
        <v>2947</v>
      </c>
      <c r="B1108" s="2" t="s">
        <v>2948</v>
      </c>
      <c r="C1108" s="2" t="s">
        <v>80</v>
      </c>
      <c r="D1108" s="2" t="s">
        <v>454</v>
      </c>
      <c r="E1108" s="5">
        <v>-29287</v>
      </c>
      <c r="F1108" s="3" t="s">
        <v>455</v>
      </c>
      <c r="G1108" s="3" t="s">
        <v>481</v>
      </c>
      <c r="H1108" s="2" t="s">
        <v>65</v>
      </c>
      <c r="I1108" s="2" t="s">
        <v>2949</v>
      </c>
      <c r="J1108" s="3" t="str">
        <f>HYPERLINK("https://www.boe.es/gazeta/dias/1819/10/24/pdfs/GMD-1819-131E.pdf#page=8","Abrir facsímil")</f>
        <v>Abrir facsímil</v>
      </c>
      <c r="K1108" s="3" t="s">
        <v>67</v>
      </c>
    </row>
    <row r="1109" spans="1:11" ht="42" customHeight="1">
      <c r="A1109" s="2" t="s">
        <v>2950</v>
      </c>
      <c r="B1109" s="2" t="s">
        <v>2951</v>
      </c>
      <c r="C1109" s="2" t="s">
        <v>63</v>
      </c>
      <c r="D1109" s="2" t="s">
        <v>43</v>
      </c>
      <c r="E1109" s="5">
        <v>-29281</v>
      </c>
      <c r="F1109" s="3" t="s">
        <v>19</v>
      </c>
      <c r="G1109" s="3" t="s">
        <v>456</v>
      </c>
      <c r="H1109" s="2" t="s">
        <v>21</v>
      </c>
      <c r="I1109" s="2" t="s">
        <v>2952</v>
      </c>
      <c r="J1109" s="3" t="str">
        <f>HYPERLINK("https://www.boe.es/gazeta/dias/1819/10/30/pdfs/GMD-1819-134.pdf#page=9","Abrir facsímil")</f>
        <v>Abrir facsímil</v>
      </c>
      <c r="K1109" s="3" t="s">
        <v>23</v>
      </c>
    </row>
    <row r="1110" spans="1:11" ht="42" customHeight="1">
      <c r="A1110" s="2" t="s">
        <v>2953</v>
      </c>
      <c r="B1110" s="2" t="s">
        <v>2953</v>
      </c>
      <c r="C1110" s="2" t="s">
        <v>246</v>
      </c>
      <c r="D1110" s="2" t="s">
        <v>18</v>
      </c>
      <c r="E1110" s="5">
        <v>-29579</v>
      </c>
      <c r="F1110" s="3" t="s">
        <v>186</v>
      </c>
      <c r="G1110" s="3" t="s">
        <v>2680</v>
      </c>
      <c r="H1110" s="2" t="s">
        <v>65</v>
      </c>
      <c r="I1110" s="2" t="s">
        <v>2954</v>
      </c>
      <c r="J1110" s="3" t="str">
        <f>HYPERLINK("https://www.boe.es/gazeta/dias/1819/01/05/pdfs/GMD-1819-2.pdf#page=8","Abrir facsímil")</f>
        <v>Abrir facsímil</v>
      </c>
      <c r="K1110" s="3" t="s">
        <v>67</v>
      </c>
    </row>
    <row r="1111" spans="1:11" ht="42" customHeight="1">
      <c r="A1111" s="2" t="s">
        <v>2955</v>
      </c>
      <c r="B1111" s="2" t="s">
        <v>2956</v>
      </c>
      <c r="C1111" s="2" t="s">
        <v>136</v>
      </c>
      <c r="D1111" s="2" t="s">
        <v>18</v>
      </c>
      <c r="E1111" s="5">
        <v>-29512</v>
      </c>
      <c r="F1111" s="3" t="s">
        <v>741</v>
      </c>
      <c r="G1111" s="3" t="s">
        <v>28</v>
      </c>
      <c r="H1111" s="2" t="s">
        <v>65</v>
      </c>
      <c r="I1111" s="2" t="s">
        <v>2957</v>
      </c>
      <c r="J1111" s="3" t="str">
        <f>HYPERLINK("https://www.boe.es/gazeta/dias/1819/03/13/pdfs/GMD-1819-31.pdf#page=8","Abrir facsímil")</f>
        <v>Abrir facsímil</v>
      </c>
      <c r="K1111" s="3" t="s">
        <v>67</v>
      </c>
    </row>
    <row r="1112" spans="1:11" ht="42" customHeight="1">
      <c r="A1112" s="2" t="s">
        <v>2958</v>
      </c>
      <c r="B1112" s="2" t="s">
        <v>2959</v>
      </c>
      <c r="C1112" s="2" t="s">
        <v>63</v>
      </c>
      <c r="D1112" s="2" t="s">
        <v>43</v>
      </c>
      <c r="E1112" s="5">
        <v>-29540</v>
      </c>
      <c r="F1112" s="3" t="s">
        <v>154</v>
      </c>
      <c r="G1112" s="3" t="s">
        <v>55</v>
      </c>
      <c r="H1112" s="2" t="s">
        <v>65</v>
      </c>
      <c r="I1112" s="2" t="s">
        <v>2960</v>
      </c>
      <c r="J1112" s="3" t="str">
        <f>HYPERLINK("https://www.boe.es/gazeta/dias/1819/02/13/pdfs/GMD-1819-19.pdf#page=7","Abrir facsímil")</f>
        <v>Abrir facsímil</v>
      </c>
      <c r="K1112" s="3" t="s">
        <v>67</v>
      </c>
    </row>
    <row r="1113" spans="1:11" ht="42" customHeight="1">
      <c r="A1113" s="2" t="s">
        <v>2961</v>
      </c>
      <c r="B1113" s="2" t="s">
        <v>2962</v>
      </c>
      <c r="C1113" s="2" t="s">
        <v>215</v>
      </c>
      <c r="D1113" s="2" t="s">
        <v>18</v>
      </c>
      <c r="E1113" s="5">
        <v>-29519</v>
      </c>
      <c r="F1113" s="3" t="s">
        <v>142</v>
      </c>
      <c r="G1113" s="3" t="s">
        <v>33</v>
      </c>
      <c r="H1113" s="2" t="s">
        <v>21</v>
      </c>
      <c r="I1113" s="2" t="s">
        <v>2963</v>
      </c>
      <c r="J1113" s="3" t="str">
        <f>HYPERLINK("https://www.boe.es/gazeta/dias/1819/03/06/pdfs/GMD-1819-28.pdf#page=6","Abrir facsímil")</f>
        <v>Abrir facsímil</v>
      </c>
      <c r="K1113" s="3" t="s">
        <v>23</v>
      </c>
    </row>
    <row r="1114" spans="1:11" ht="42" customHeight="1">
      <c r="A1114" s="2" t="s">
        <v>2964</v>
      </c>
      <c r="B1114" s="2" t="s">
        <v>2964</v>
      </c>
      <c r="C1114" s="2" t="s">
        <v>246</v>
      </c>
      <c r="D1114" s="2" t="s">
        <v>18</v>
      </c>
      <c r="E1114" s="5">
        <v>-29507</v>
      </c>
      <c r="F1114" s="3" t="s">
        <v>1928</v>
      </c>
      <c r="G1114" s="3" t="s">
        <v>239</v>
      </c>
      <c r="H1114" s="2" t="s">
        <v>65</v>
      </c>
      <c r="I1114" s="2" t="s">
        <v>2965</v>
      </c>
      <c r="J1114" s="3" t="str">
        <f>HYPERLINK("https://www.boe.es/gazeta/dias/1819/03/18/pdfs/GMD-1819-33.pdf#page=1","Abrir facsímil")</f>
        <v>Abrir facsímil</v>
      </c>
      <c r="K1114" s="3" t="s">
        <v>67</v>
      </c>
    </row>
    <row r="1115" spans="1:11" ht="42" customHeight="1">
      <c r="A1115" s="2" t="s">
        <v>2966</v>
      </c>
      <c r="B1115" s="2" t="s">
        <v>2967</v>
      </c>
      <c r="C1115" s="2" t="s">
        <v>246</v>
      </c>
      <c r="D1115" s="2" t="s">
        <v>18</v>
      </c>
      <c r="E1115" s="5">
        <v>-29262</v>
      </c>
      <c r="F1115" s="3" t="s">
        <v>1428</v>
      </c>
      <c r="G1115" s="3" t="s">
        <v>259</v>
      </c>
      <c r="H1115" s="2" t="s">
        <v>65</v>
      </c>
      <c r="I1115" s="2" t="s">
        <v>2968</v>
      </c>
      <c r="J1115" s="3" t="str">
        <f>HYPERLINK("https://www.boe.es/gazeta/dias/1819/11/18/pdfs/GMD-1819-142.pdf#page=2","Abrir facsímil")</f>
        <v>Abrir facsímil</v>
      </c>
      <c r="K1115" s="3" t="s">
        <v>67</v>
      </c>
    </row>
    <row r="1116" spans="1:11" ht="42" customHeight="1">
      <c r="A1116" s="2" t="s">
        <v>2969</v>
      </c>
      <c r="B1116" s="2" t="s">
        <v>2970</v>
      </c>
      <c r="C1116" s="2" t="s">
        <v>63</v>
      </c>
      <c r="D1116" s="2" t="s">
        <v>43</v>
      </c>
      <c r="E1116" s="5">
        <v>-29488</v>
      </c>
      <c r="F1116" s="3" t="s">
        <v>27</v>
      </c>
      <c r="G1116" s="3" t="s">
        <v>55</v>
      </c>
      <c r="H1116" s="2" t="s">
        <v>65</v>
      </c>
      <c r="I1116" s="2" t="s">
        <v>2971</v>
      </c>
      <c r="J1116" s="3" t="str">
        <f>HYPERLINK("https://www.boe.es/gazeta/dias/1819/04/06/pdfs/GMD-1819-41.pdf#page=7","Abrir facsímil")</f>
        <v>Abrir facsímil</v>
      </c>
      <c r="K1116" s="3" t="s">
        <v>67</v>
      </c>
    </row>
    <row r="1117" spans="1:11" ht="42" customHeight="1">
      <c r="A1117" s="2" t="s">
        <v>2972</v>
      </c>
      <c r="B1117" s="2" t="s">
        <v>2973</v>
      </c>
      <c r="C1117" s="2" t="s">
        <v>63</v>
      </c>
      <c r="D1117" s="2" t="s">
        <v>454</v>
      </c>
      <c r="E1117" s="5">
        <v>-29287</v>
      </c>
      <c r="F1117" s="3" t="s">
        <v>455</v>
      </c>
      <c r="G1117" s="3" t="s">
        <v>481</v>
      </c>
      <c r="H1117" s="2" t="s">
        <v>65</v>
      </c>
      <c r="I1117" s="2" t="s">
        <v>2974</v>
      </c>
      <c r="J1117" s="3" t="str">
        <f>HYPERLINK("https://www.boe.es/gazeta/dias/1819/10/24/pdfs/GMD-1819-131E.pdf#page=8","Abrir facsímil")</f>
        <v>Abrir facsímil</v>
      </c>
      <c r="K1117" s="3" t="s">
        <v>67</v>
      </c>
    </row>
    <row r="1118" spans="1:11" ht="42" customHeight="1">
      <c r="A1118" s="2" t="s">
        <v>2975</v>
      </c>
      <c r="B1118" s="2" t="s">
        <v>2975</v>
      </c>
      <c r="C1118" s="2" t="s">
        <v>80</v>
      </c>
      <c r="D1118" s="2" t="s">
        <v>81</v>
      </c>
      <c r="E1118" s="5">
        <v>-29519</v>
      </c>
      <c r="F1118" s="3" t="s">
        <v>142</v>
      </c>
      <c r="G1118" s="3" t="s">
        <v>259</v>
      </c>
      <c r="H1118" s="2" t="s">
        <v>65</v>
      </c>
      <c r="I1118" s="2" t="s">
        <v>2976</v>
      </c>
      <c r="J1118" s="3" t="str">
        <f>HYPERLINK("https://www.boe.es/gazeta/dias/1819/03/06/pdfs/GMD-1819-28.pdf#page=2","Abrir facsímil")</f>
        <v>Abrir facsímil</v>
      </c>
      <c r="K1118" s="3" t="s">
        <v>67</v>
      </c>
    </row>
    <row r="1119" spans="1:11" ht="42" customHeight="1">
      <c r="A1119" s="2" t="s">
        <v>2977</v>
      </c>
      <c r="B1119" s="2" t="s">
        <v>2978</v>
      </c>
      <c r="C1119" s="2" t="s">
        <v>26</v>
      </c>
      <c r="D1119" s="2" t="s">
        <v>18</v>
      </c>
      <c r="E1119" s="5">
        <v>-29290</v>
      </c>
      <c r="F1119" s="3" t="s">
        <v>622</v>
      </c>
      <c r="G1119" s="3" t="s">
        <v>55</v>
      </c>
      <c r="H1119" s="2" t="s">
        <v>21</v>
      </c>
      <c r="I1119" s="2" t="s">
        <v>2979</v>
      </c>
      <c r="J1119" s="3" t="str">
        <f>HYPERLINK("https://www.boe.es/gazeta/dias/1819/10/21/pdfs/GMD-1819-129.pdf#page=7","Abrir facsímil")</f>
        <v>Abrir facsímil</v>
      </c>
      <c r="K1119" s="3" t="s">
        <v>23</v>
      </c>
    </row>
    <row r="1120" spans="1:11" ht="42" customHeight="1">
      <c r="A1120" s="2" t="s">
        <v>2980</v>
      </c>
      <c r="B1120" s="2" t="s">
        <v>2981</v>
      </c>
      <c r="C1120" s="2" t="s">
        <v>63</v>
      </c>
      <c r="D1120" s="2" t="s">
        <v>43</v>
      </c>
      <c r="E1120" s="5">
        <v>-29274</v>
      </c>
      <c r="F1120" s="3" t="s">
        <v>247</v>
      </c>
      <c r="G1120" s="3" t="s">
        <v>28</v>
      </c>
      <c r="H1120" s="2" t="s">
        <v>21</v>
      </c>
      <c r="I1120" s="2" t="s">
        <v>2982</v>
      </c>
      <c r="J1120" s="3" t="str">
        <f>HYPERLINK("https://www.boe.es/gazeta/dias/1819/11/06/pdfs/GMD-1819-137.pdf#page=8","Abrir facsímil")</f>
        <v>Abrir facsímil</v>
      </c>
      <c r="K1120" s="3" t="s">
        <v>23</v>
      </c>
    </row>
    <row r="1121" spans="1:11" ht="42" customHeight="1">
      <c r="A1121" s="2" t="s">
        <v>2983</v>
      </c>
      <c r="B1121" s="2" t="s">
        <v>2984</v>
      </c>
      <c r="C1121" s="2" t="s">
        <v>63</v>
      </c>
      <c r="D1121" s="2" t="s">
        <v>43</v>
      </c>
      <c r="E1121" s="5">
        <v>-29348</v>
      </c>
      <c r="F1121" s="3" t="s">
        <v>227</v>
      </c>
      <c r="G1121" s="3" t="s">
        <v>28</v>
      </c>
      <c r="H1121" s="2" t="s">
        <v>21</v>
      </c>
      <c r="I1121" s="2" t="s">
        <v>2985</v>
      </c>
      <c r="J1121" s="3" t="str">
        <f>HYPERLINK("https://www.boe.es/gazeta/dias/1819/08/24/pdfs/GMD-1819-102.pdf#page=8","Abrir facsímil")</f>
        <v>Abrir facsímil</v>
      </c>
      <c r="K1121" s="3" t="s">
        <v>23</v>
      </c>
    </row>
    <row r="1122" spans="1:11" ht="42" customHeight="1">
      <c r="A1122" s="2" t="s">
        <v>2983</v>
      </c>
      <c r="B1122" s="2" t="s">
        <v>2984</v>
      </c>
      <c r="C1122" s="2" t="s">
        <v>63</v>
      </c>
      <c r="D1122" s="2" t="s">
        <v>43</v>
      </c>
      <c r="E1122" s="5">
        <v>-29253</v>
      </c>
      <c r="F1122" s="3" t="s">
        <v>242</v>
      </c>
      <c r="G1122" s="3" t="s">
        <v>2986</v>
      </c>
      <c r="H1122" s="2" t="s">
        <v>21</v>
      </c>
      <c r="I1122" s="2" t="s">
        <v>2987</v>
      </c>
      <c r="J1122" s="3" t="str">
        <f>HYPERLINK("https://www.boe.es/gazeta/dias/1819/11/27/pdfs/GMD-1819-146.pdf#page=8","Abrir facsímil")</f>
        <v>Abrir facsímil</v>
      </c>
      <c r="K1122" s="3" t="s">
        <v>23</v>
      </c>
    </row>
    <row r="1123" spans="1:11" ht="42" customHeight="1">
      <c r="A1123" s="2" t="s">
        <v>2988</v>
      </c>
      <c r="B1123" s="2" t="s">
        <v>2988</v>
      </c>
      <c r="C1123" s="2" t="s">
        <v>59</v>
      </c>
      <c r="D1123" s="2" t="s">
        <v>18</v>
      </c>
      <c r="E1123" s="5">
        <v>-29386</v>
      </c>
      <c r="F1123" s="3" t="s">
        <v>568</v>
      </c>
      <c r="G1123" s="3" t="s">
        <v>38</v>
      </c>
      <c r="H1123" s="2" t="s">
        <v>65</v>
      </c>
      <c r="I1123" s="2" t="s">
        <v>2989</v>
      </c>
      <c r="J1123" s="3" t="str">
        <f>HYPERLINK("https://www.boe.es/gazeta/dias/1819/07/17/pdfs/GMD-1819-86.pdf#page=5","Abrir facsímil")</f>
        <v>Abrir facsímil</v>
      </c>
      <c r="K1123" s="3" t="s">
        <v>67</v>
      </c>
    </row>
    <row r="1124" spans="1:11" ht="42" customHeight="1">
      <c r="A1124" s="2" t="s">
        <v>2990</v>
      </c>
      <c r="B1124" s="2" t="s">
        <v>2991</v>
      </c>
      <c r="C1124" s="2" t="s">
        <v>59</v>
      </c>
      <c r="D1124" s="2" t="s">
        <v>18</v>
      </c>
      <c r="E1124" s="5">
        <v>-29386</v>
      </c>
      <c r="F1124" s="3" t="s">
        <v>568</v>
      </c>
      <c r="G1124" s="3" t="s">
        <v>38</v>
      </c>
      <c r="H1124" s="2" t="s">
        <v>65</v>
      </c>
      <c r="I1124" s="2" t="s">
        <v>2992</v>
      </c>
      <c r="J1124" s="3" t="str">
        <f>HYPERLINK("https://www.boe.es/gazeta/dias/1819/07/17/pdfs/GMD-1819-86.pdf#page=5","Abrir facsímil")</f>
        <v>Abrir facsímil</v>
      </c>
      <c r="K1124" s="3" t="s">
        <v>67</v>
      </c>
    </row>
    <row r="1125" spans="1:11" ht="42" customHeight="1">
      <c r="A1125" s="2" t="s">
        <v>2993</v>
      </c>
      <c r="B1125" s="2" t="s">
        <v>2994</v>
      </c>
      <c r="C1125" s="2" t="s">
        <v>80</v>
      </c>
      <c r="D1125" s="2" t="s">
        <v>81</v>
      </c>
      <c r="E1125" s="5">
        <v>-29533</v>
      </c>
      <c r="F1125" s="3" t="s">
        <v>280</v>
      </c>
      <c r="G1125" s="3" t="s">
        <v>55</v>
      </c>
      <c r="H1125" s="2" t="s">
        <v>65</v>
      </c>
      <c r="I1125" s="2" t="s">
        <v>2995</v>
      </c>
      <c r="J1125" s="3" t="str">
        <f>HYPERLINK("https://www.boe.es/gazeta/dias/1819/02/20/pdfs/GMD-1819-22.pdf#page=7","Abrir facsímil")</f>
        <v>Abrir facsímil</v>
      </c>
      <c r="K1125" s="3" t="s">
        <v>67</v>
      </c>
    </row>
    <row r="1126" spans="1:11" ht="42" customHeight="1">
      <c r="A1126" s="2" t="s">
        <v>2996</v>
      </c>
      <c r="B1126" s="2" t="s">
        <v>2996</v>
      </c>
      <c r="C1126" s="2" t="s">
        <v>80</v>
      </c>
      <c r="D1126" s="2" t="s">
        <v>81</v>
      </c>
      <c r="E1126" s="5">
        <v>-29248</v>
      </c>
      <c r="F1126" s="3" t="s">
        <v>395</v>
      </c>
      <c r="G1126" s="3" t="s">
        <v>94</v>
      </c>
      <c r="H1126" s="2" t="s">
        <v>65</v>
      </c>
      <c r="I1126" s="2" t="s">
        <v>2997</v>
      </c>
      <c r="J1126" s="3" t="str">
        <f>HYPERLINK("https://www.boe.es/gazeta/dias/1819/12/02/pdfs/GMD-1819-148.pdf#page=11","Abrir facsímil")</f>
        <v>Abrir facsímil</v>
      </c>
      <c r="K1126" s="3" t="s">
        <v>67</v>
      </c>
    </row>
    <row r="1127" spans="1:11" ht="42" customHeight="1">
      <c r="A1127" s="2" t="s">
        <v>2998</v>
      </c>
      <c r="B1127" s="2" t="s">
        <v>2998</v>
      </c>
      <c r="C1127" s="2" t="s">
        <v>80</v>
      </c>
      <c r="D1127" s="2" t="s">
        <v>81</v>
      </c>
      <c r="E1127" s="5">
        <v>-29579</v>
      </c>
      <c r="F1127" s="3" t="s">
        <v>186</v>
      </c>
      <c r="G1127" s="3" t="s">
        <v>38</v>
      </c>
      <c r="H1127" s="2" t="s">
        <v>65</v>
      </c>
      <c r="I1127" s="2" t="s">
        <v>2999</v>
      </c>
      <c r="J1127" s="3" t="str">
        <f>HYPERLINK("https://www.boe.es/gazeta/dias/1819/01/05/pdfs/GMD-1819-2.pdf#page=5","Abrir facsímil")</f>
        <v>Abrir facsímil</v>
      </c>
      <c r="K1127" s="3" t="s">
        <v>67</v>
      </c>
    </row>
    <row r="1128" spans="1:11" ht="42" customHeight="1">
      <c r="A1128" s="2" t="s">
        <v>3000</v>
      </c>
      <c r="B1128" s="2" t="s">
        <v>3000</v>
      </c>
      <c r="C1128" s="2" t="s">
        <v>26</v>
      </c>
      <c r="D1128" s="2" t="s">
        <v>18</v>
      </c>
      <c r="E1128" s="5">
        <v>-29446</v>
      </c>
      <c r="F1128" s="3" t="s">
        <v>773</v>
      </c>
      <c r="G1128" s="3" t="s">
        <v>776</v>
      </c>
      <c r="H1128" s="2" t="s">
        <v>65</v>
      </c>
      <c r="I1128" s="2" t="s">
        <v>3001</v>
      </c>
      <c r="J1128" s="3" t="str">
        <f>HYPERLINK("https://www.boe.es/gazeta/dias/1819/05/18/pdfs/GMD-1819-59.pdf#page=7","Abrir facsímil")</f>
        <v>Abrir facsímil</v>
      </c>
      <c r="K1128" s="3" t="s">
        <v>67</v>
      </c>
    </row>
    <row r="1129" spans="1:11" ht="42" customHeight="1">
      <c r="A1129" s="2" t="s">
        <v>3000</v>
      </c>
      <c r="B1129" s="2" t="s">
        <v>3000</v>
      </c>
      <c r="C1129" s="2" t="s">
        <v>63</v>
      </c>
      <c r="D1129" s="2" t="s">
        <v>43</v>
      </c>
      <c r="E1129" s="5">
        <v>-29281</v>
      </c>
      <c r="F1129" s="3" t="s">
        <v>19</v>
      </c>
      <c r="G1129" s="3" t="s">
        <v>456</v>
      </c>
      <c r="H1129" s="2" t="s">
        <v>65</v>
      </c>
      <c r="I1129" s="2" t="s">
        <v>3002</v>
      </c>
      <c r="J1129" s="3" t="str">
        <f>HYPERLINK("https://www.boe.es/gazeta/dias/1819/10/30/pdfs/GMD-1819-134.pdf#page=9","Abrir facsímil")</f>
        <v>Abrir facsímil</v>
      </c>
      <c r="K1129" s="3" t="s">
        <v>67</v>
      </c>
    </row>
    <row r="1130" spans="1:11" ht="42" customHeight="1">
      <c r="A1130" s="2" t="s">
        <v>3003</v>
      </c>
      <c r="B1130" s="2" t="s">
        <v>3003</v>
      </c>
      <c r="C1130" s="2" t="s">
        <v>63</v>
      </c>
      <c r="D1130" s="2" t="s">
        <v>43</v>
      </c>
      <c r="E1130" s="5">
        <v>-29365</v>
      </c>
      <c r="F1130" s="3" t="s">
        <v>218</v>
      </c>
      <c r="G1130" s="3" t="s">
        <v>28</v>
      </c>
      <c r="H1130" s="2" t="s">
        <v>65</v>
      </c>
      <c r="I1130" s="2" t="s">
        <v>3004</v>
      </c>
      <c r="J1130" s="3" t="str">
        <f>HYPERLINK("https://www.boe.es/gazeta/dias/1819/08/07/pdfs/GMD-1819-95.pdf#page=8","Abrir facsímil")</f>
        <v>Abrir facsímil</v>
      </c>
      <c r="K1130" s="3" t="s">
        <v>67</v>
      </c>
    </row>
    <row r="1131" spans="1:11" ht="42" customHeight="1">
      <c r="A1131" s="2" t="s">
        <v>3005</v>
      </c>
      <c r="B1131" s="2" t="s">
        <v>3005</v>
      </c>
      <c r="C1131" s="2" t="s">
        <v>59</v>
      </c>
      <c r="D1131" s="2" t="s">
        <v>18</v>
      </c>
      <c r="E1131" s="5">
        <v>-29493</v>
      </c>
      <c r="F1131" s="3" t="s">
        <v>404</v>
      </c>
      <c r="G1131" s="3" t="s">
        <v>33</v>
      </c>
      <c r="H1131" s="2" t="s">
        <v>65</v>
      </c>
      <c r="I1131" s="2" t="s">
        <v>3006</v>
      </c>
      <c r="J1131" s="3" t="str">
        <f>HYPERLINK("https://www.boe.es/gazeta/dias/1819/04/01/pdfs/GMD-1819-39.pdf#page=6","Abrir facsímil")</f>
        <v>Abrir facsímil</v>
      </c>
      <c r="K1131" s="3" t="s">
        <v>67</v>
      </c>
    </row>
    <row r="1132" spans="1:11" ht="42" customHeight="1">
      <c r="A1132" s="2" t="s">
        <v>3005</v>
      </c>
      <c r="B1132" s="2" t="s">
        <v>3005</v>
      </c>
      <c r="C1132" s="2" t="s">
        <v>80</v>
      </c>
      <c r="D1132" s="2" t="s">
        <v>81</v>
      </c>
      <c r="E1132" s="5">
        <v>-29318</v>
      </c>
      <c r="F1132" s="3" t="s">
        <v>1442</v>
      </c>
      <c r="G1132" s="3" t="s">
        <v>38</v>
      </c>
      <c r="H1132" s="2" t="s">
        <v>65</v>
      </c>
      <c r="I1132" s="2" t="s">
        <v>3007</v>
      </c>
      <c r="J1132" s="3" t="str">
        <f>HYPERLINK("https://www.boe.es/gazeta/dias/1819/09/23/pdfs/GMD-1819-117.pdf#page=5","Abrir facsímil")</f>
        <v>Abrir facsímil</v>
      </c>
      <c r="K1132" s="3" t="s">
        <v>67</v>
      </c>
    </row>
    <row r="1133" spans="1:11" ht="42" customHeight="1">
      <c r="A1133" s="2" t="s">
        <v>3005</v>
      </c>
      <c r="B1133" s="2" t="s">
        <v>3005</v>
      </c>
      <c r="C1133" s="2" t="s">
        <v>80</v>
      </c>
      <c r="D1133" s="2" t="s">
        <v>81</v>
      </c>
      <c r="E1133" s="5">
        <v>-29269</v>
      </c>
      <c r="F1133" s="3" t="s">
        <v>565</v>
      </c>
      <c r="G1133" s="3" t="s">
        <v>33</v>
      </c>
      <c r="H1133" s="2" t="s">
        <v>65</v>
      </c>
      <c r="I1133" s="2" t="s">
        <v>3008</v>
      </c>
      <c r="J1133" s="3" t="str">
        <f>HYPERLINK("https://www.boe.es/gazeta/dias/1819/11/11/pdfs/GMD-1819-139.pdf#page=6","Abrir facsímil")</f>
        <v>Abrir facsímil</v>
      </c>
      <c r="K1133" s="3" t="s">
        <v>67</v>
      </c>
    </row>
    <row r="1134" spans="1:11" ht="42" customHeight="1">
      <c r="A1134" s="2" t="s">
        <v>3009</v>
      </c>
      <c r="B1134" s="2" t="s">
        <v>3009</v>
      </c>
      <c r="C1134" s="2" t="s">
        <v>63</v>
      </c>
      <c r="D1134" s="2" t="s">
        <v>43</v>
      </c>
      <c r="E1134" s="5">
        <v>-29470</v>
      </c>
      <c r="F1134" s="3" t="s">
        <v>1188</v>
      </c>
      <c r="G1134" s="3" t="s">
        <v>239</v>
      </c>
      <c r="H1134" s="2" t="s">
        <v>65</v>
      </c>
      <c r="I1134" s="2" t="s">
        <v>3010</v>
      </c>
      <c r="J1134" s="3" t="str">
        <f>HYPERLINK("https://www.boe.es/gazeta/dias/1819/04/24/pdfs/GMD-1819-49.pdf#page=1","Abrir facsímil")</f>
        <v>Abrir facsímil</v>
      </c>
      <c r="K1134" s="3" t="s">
        <v>67</v>
      </c>
    </row>
    <row r="1135" spans="1:11" ht="42" customHeight="1">
      <c r="A1135" s="2" t="s">
        <v>3011</v>
      </c>
      <c r="B1135" s="2" t="s">
        <v>3012</v>
      </c>
      <c r="C1135" s="2" t="s">
        <v>17</v>
      </c>
      <c r="D1135" s="2" t="s">
        <v>18</v>
      </c>
      <c r="E1135" s="5">
        <v>-29248</v>
      </c>
      <c r="F1135" s="3" t="s">
        <v>395</v>
      </c>
      <c r="G1135" s="3" t="s">
        <v>38</v>
      </c>
      <c r="H1135" s="2" t="s">
        <v>21</v>
      </c>
      <c r="I1135" s="2" t="s">
        <v>3013</v>
      </c>
      <c r="J1135" s="3" t="str">
        <f>HYPERLINK("https://www.boe.es/gazeta/dias/1819/12/02/pdfs/GMD-1819-148.pdf#page=5","Abrir facsímil")</f>
        <v>Abrir facsímil</v>
      </c>
      <c r="K1135" s="3" t="s">
        <v>23</v>
      </c>
    </row>
    <row r="1136" spans="1:11" ht="42" customHeight="1">
      <c r="A1136" s="2" t="s">
        <v>3014</v>
      </c>
      <c r="B1136" s="2" t="s">
        <v>3015</v>
      </c>
      <c r="C1136" s="2" t="s">
        <v>63</v>
      </c>
      <c r="D1136" s="2" t="s">
        <v>43</v>
      </c>
      <c r="E1136" s="5">
        <v>-29563</v>
      </c>
      <c r="F1136" s="3" t="s">
        <v>1087</v>
      </c>
      <c r="G1136" s="3" t="s">
        <v>28</v>
      </c>
      <c r="H1136" s="2" t="s">
        <v>21</v>
      </c>
      <c r="I1136" s="2" t="s">
        <v>3016</v>
      </c>
      <c r="J1136" s="3" t="str">
        <f>HYPERLINK("https://www.boe.es/gazeta/dias/1819/01/21/pdfs/GMD-1819-9.pdf#page=8","Abrir facsímil")</f>
        <v>Abrir facsímil</v>
      </c>
      <c r="K1136" s="3" t="s">
        <v>23</v>
      </c>
    </row>
    <row r="1137" spans="1:11" ht="42" customHeight="1">
      <c r="A1137" s="2" t="s">
        <v>3017</v>
      </c>
      <c r="B1137" s="2" t="s">
        <v>3018</v>
      </c>
      <c r="C1137" s="2" t="s">
        <v>17</v>
      </c>
      <c r="D1137" s="2" t="s">
        <v>18</v>
      </c>
      <c r="E1137" s="5">
        <v>-29260</v>
      </c>
      <c r="F1137" s="3" t="s">
        <v>93</v>
      </c>
      <c r="G1137" s="3" t="s">
        <v>33</v>
      </c>
      <c r="H1137" s="2" t="s">
        <v>21</v>
      </c>
      <c r="I1137" s="2" t="s">
        <v>3019</v>
      </c>
      <c r="J1137" s="3" t="str">
        <f>HYPERLINK("https://www.boe.es/gazeta/dias/1819/11/20/pdfs/GMD-1819-143.pdf#page=6","Abrir facsímil")</f>
        <v>Abrir facsímil</v>
      </c>
      <c r="K1137" s="3" t="s">
        <v>23</v>
      </c>
    </row>
    <row r="1138" spans="1:11" ht="42" customHeight="1">
      <c r="A1138" s="2" t="s">
        <v>3020</v>
      </c>
      <c r="B1138" s="2" t="s">
        <v>3021</v>
      </c>
      <c r="C1138" s="2" t="s">
        <v>17</v>
      </c>
      <c r="D1138" s="2" t="s">
        <v>18</v>
      </c>
      <c r="E1138" s="5">
        <v>-29271</v>
      </c>
      <c r="F1138" s="3" t="s">
        <v>32</v>
      </c>
      <c r="G1138" s="3" t="s">
        <v>33</v>
      </c>
      <c r="H1138" s="2" t="s">
        <v>21</v>
      </c>
      <c r="I1138" s="2" t="s">
        <v>3022</v>
      </c>
      <c r="J1138" s="3" t="str">
        <f>HYPERLINK("https://www.boe.es/gazeta/dias/1819/11/09/pdfs/GMD-1819-138.pdf#page=6","Abrir facsímil")</f>
        <v>Abrir facsímil</v>
      </c>
      <c r="K1138" s="3" t="s">
        <v>23</v>
      </c>
    </row>
    <row r="1139" spans="1:11" ht="42" customHeight="1">
      <c r="A1139" s="2" t="s">
        <v>3023</v>
      </c>
      <c r="B1139" s="2" t="s">
        <v>3024</v>
      </c>
      <c r="C1139" s="2" t="s">
        <v>17</v>
      </c>
      <c r="D1139" s="2" t="s">
        <v>18</v>
      </c>
      <c r="E1139" s="5">
        <v>-29264</v>
      </c>
      <c r="F1139" s="3" t="s">
        <v>37</v>
      </c>
      <c r="G1139" s="3" t="s">
        <v>38</v>
      </c>
      <c r="H1139" s="2" t="s">
        <v>21</v>
      </c>
      <c r="I1139" s="2" t="s">
        <v>3025</v>
      </c>
      <c r="J1139" s="3" t="str">
        <f>HYPERLINK("https://www.boe.es/gazeta/dias/1819/11/16/pdfs/GMD-1819-141.pdf#page=5","Abrir facsímil")</f>
        <v>Abrir facsímil</v>
      </c>
      <c r="K1139" s="3" t="s">
        <v>23</v>
      </c>
    </row>
    <row r="1140" spans="1:11" ht="42" customHeight="1">
      <c r="A1140" s="2" t="s">
        <v>3026</v>
      </c>
      <c r="B1140" s="2" t="s">
        <v>3027</v>
      </c>
      <c r="C1140" s="2" t="s">
        <v>80</v>
      </c>
      <c r="D1140" s="2" t="s">
        <v>81</v>
      </c>
      <c r="E1140" s="5">
        <v>-29276</v>
      </c>
      <c r="F1140" s="3" t="s">
        <v>54</v>
      </c>
      <c r="G1140" s="3" t="s">
        <v>55</v>
      </c>
      <c r="H1140" s="2" t="s">
        <v>21</v>
      </c>
      <c r="I1140" s="2" t="s">
        <v>3028</v>
      </c>
      <c r="J1140" s="3" t="str">
        <f>HYPERLINK("https://www.boe.es/gazeta/dias/1819/11/04/pdfs/GMD-1819-136.pdf#page=7","Abrir facsímil")</f>
        <v>Abrir facsímil</v>
      </c>
      <c r="K1140" s="3" t="s">
        <v>23</v>
      </c>
    </row>
    <row r="1141" spans="1:11" ht="42" customHeight="1">
      <c r="A1141" s="2" t="s">
        <v>3026</v>
      </c>
      <c r="B1141" s="2" t="s">
        <v>3027</v>
      </c>
      <c r="C1141" s="2" t="s">
        <v>17</v>
      </c>
      <c r="D1141" s="2" t="s">
        <v>18</v>
      </c>
      <c r="E1141" s="5">
        <v>-29257</v>
      </c>
      <c r="F1141" s="3" t="s">
        <v>73</v>
      </c>
      <c r="G1141" s="3" t="s">
        <v>3029</v>
      </c>
      <c r="H1141" s="2" t="s">
        <v>21</v>
      </c>
      <c r="I1141" s="2" t="s">
        <v>3030</v>
      </c>
      <c r="J1141" s="3" t="str">
        <f>HYPERLINK("https://www.boe.es/gazeta/dias/1819/11/23/pdfs/GMD-1819-144.pdf#page=7","Abrir facsímil")</f>
        <v>Abrir facsímil</v>
      </c>
      <c r="K1141" s="3" t="s">
        <v>23</v>
      </c>
    </row>
    <row r="1142" spans="1:11" ht="42" customHeight="1">
      <c r="A1142" s="2" t="s">
        <v>3031</v>
      </c>
      <c r="B1142" s="2" t="s">
        <v>3032</v>
      </c>
      <c r="C1142" s="2" t="s">
        <v>42</v>
      </c>
      <c r="D1142" s="2" t="s">
        <v>43</v>
      </c>
      <c r="E1142" s="5">
        <v>-29271</v>
      </c>
      <c r="F1142" s="3" t="s">
        <v>32</v>
      </c>
      <c r="G1142" s="3" t="s">
        <v>2323</v>
      </c>
      <c r="H1142" s="2" t="s">
        <v>21</v>
      </c>
      <c r="I1142" s="2" t="s">
        <v>3033</v>
      </c>
      <c r="J1142" s="3" t="str">
        <f>HYPERLINK("https://www.boe.es/gazeta/dias/1819/11/09/pdfs/GMD-1819-138.pdf#page=5","Abrir facsímil")</f>
        <v>Abrir facsímil</v>
      </c>
      <c r="K1142" s="3" t="s">
        <v>23</v>
      </c>
    </row>
    <row r="1143" spans="1:11" ht="42" customHeight="1">
      <c r="A1143" s="2" t="s">
        <v>3034</v>
      </c>
      <c r="B1143" s="2" t="s">
        <v>3035</v>
      </c>
      <c r="C1143" s="2" t="s">
        <v>59</v>
      </c>
      <c r="D1143" s="2" t="s">
        <v>18</v>
      </c>
      <c r="E1143" s="5">
        <v>-29271</v>
      </c>
      <c r="F1143" s="3" t="s">
        <v>32</v>
      </c>
      <c r="G1143" s="3" t="s">
        <v>33</v>
      </c>
      <c r="H1143" s="2" t="s">
        <v>21</v>
      </c>
      <c r="I1143" s="2" t="s">
        <v>3036</v>
      </c>
      <c r="J1143" s="3" t="str">
        <f>HYPERLINK("https://www.boe.es/gazeta/dias/1819/11/09/pdfs/GMD-1819-138.pdf#page=6","Abrir facsímil")</f>
        <v>Abrir facsímil</v>
      </c>
      <c r="K1143" s="3" t="s">
        <v>23</v>
      </c>
    </row>
    <row r="1144" spans="1:11" ht="42" customHeight="1">
      <c r="A1144" s="2" t="s">
        <v>3037</v>
      </c>
      <c r="B1144" s="2" t="s">
        <v>3038</v>
      </c>
      <c r="C1144" s="2" t="s">
        <v>17</v>
      </c>
      <c r="D1144" s="2" t="s">
        <v>18</v>
      </c>
      <c r="E1144" s="5">
        <v>-29222</v>
      </c>
      <c r="F1144" s="3" t="s">
        <v>338</v>
      </c>
      <c r="G1144" s="3" t="s">
        <v>38</v>
      </c>
      <c r="H1144" s="2" t="s">
        <v>21</v>
      </c>
      <c r="I1144" s="2" t="s">
        <v>3039</v>
      </c>
      <c r="J1144" s="3" t="str">
        <f>HYPERLINK("https://www.boe.es/gazeta/dias/1819/12/28/pdfs/GMD-1819-159.pdf#page=5","Abrir facsímil")</f>
        <v>Abrir facsímil</v>
      </c>
      <c r="K1144" s="3" t="s">
        <v>23</v>
      </c>
    </row>
    <row r="1145" spans="1:11" ht="42" customHeight="1">
      <c r="A1145" s="2" t="s">
        <v>3040</v>
      </c>
      <c r="B1145" s="2" t="s">
        <v>3041</v>
      </c>
      <c r="C1145" s="2" t="s">
        <v>59</v>
      </c>
      <c r="D1145" s="2" t="s">
        <v>18</v>
      </c>
      <c r="E1145" s="5">
        <v>-29537</v>
      </c>
      <c r="F1145" s="3" t="s">
        <v>593</v>
      </c>
      <c r="G1145" s="3" t="s">
        <v>94</v>
      </c>
      <c r="H1145" s="2" t="s">
        <v>21</v>
      </c>
      <c r="I1145" s="2" t="s">
        <v>3042</v>
      </c>
      <c r="J1145" s="3" t="str">
        <f>HYPERLINK("https://www.boe.es/gazeta/dias/1819/02/16/pdfs/GMD-1819-20.pdf#page=11","Abrir facsímil")</f>
        <v>Abrir facsímil</v>
      </c>
      <c r="K1145" s="3" t="s">
        <v>23</v>
      </c>
    </row>
    <row r="1146" spans="1:11" ht="42" customHeight="1">
      <c r="A1146" s="2" t="s">
        <v>3043</v>
      </c>
      <c r="B1146" s="2" t="s">
        <v>3044</v>
      </c>
      <c r="C1146" s="2" t="s">
        <v>59</v>
      </c>
      <c r="D1146" s="2" t="s">
        <v>18</v>
      </c>
      <c r="E1146" s="5">
        <v>-29292</v>
      </c>
      <c r="F1146" s="3" t="s">
        <v>875</v>
      </c>
      <c r="G1146" s="3" t="s">
        <v>28</v>
      </c>
      <c r="H1146" s="2" t="s">
        <v>65</v>
      </c>
      <c r="I1146" s="2" t="s">
        <v>3045</v>
      </c>
      <c r="J1146" s="3" t="str">
        <f>HYPERLINK("https://www.boe.es/gazeta/dias/1819/10/19/pdfs/GMD-1819-128.pdf#page=8","Abrir facsímil")</f>
        <v>Abrir facsímil</v>
      </c>
      <c r="K1146" s="3" t="s">
        <v>67</v>
      </c>
    </row>
    <row r="1147" spans="1:11" ht="42" customHeight="1">
      <c r="A1147" s="2" t="s">
        <v>3046</v>
      </c>
      <c r="B1147" s="2" t="s">
        <v>3047</v>
      </c>
      <c r="C1147" s="2" t="s">
        <v>17</v>
      </c>
      <c r="D1147" s="2" t="s">
        <v>18</v>
      </c>
      <c r="E1147" s="5">
        <v>-29358</v>
      </c>
      <c r="F1147" s="3" t="s">
        <v>170</v>
      </c>
      <c r="G1147" s="3" t="s">
        <v>38</v>
      </c>
      <c r="H1147" s="2" t="s">
        <v>65</v>
      </c>
      <c r="I1147" s="2" t="s">
        <v>3048</v>
      </c>
      <c r="J1147" s="3" t="str">
        <f>HYPERLINK("https://www.boe.es/gazeta/dias/1819/08/14/pdfs/GMD-1819-98.pdf#page=5","Abrir facsímil")</f>
        <v>Abrir facsímil</v>
      </c>
      <c r="K1147" s="3" t="s">
        <v>67</v>
      </c>
    </row>
    <row r="1148" spans="1:11" ht="42" customHeight="1">
      <c r="A1148" s="2" t="s">
        <v>3049</v>
      </c>
      <c r="B1148" s="2" t="s">
        <v>3049</v>
      </c>
      <c r="C1148" s="2" t="s">
        <v>59</v>
      </c>
      <c r="D1148" s="2" t="s">
        <v>18</v>
      </c>
      <c r="E1148" s="5">
        <v>-29582</v>
      </c>
      <c r="F1148" s="3" t="s">
        <v>376</v>
      </c>
      <c r="G1148" s="3" t="s">
        <v>28</v>
      </c>
      <c r="H1148" s="2" t="s">
        <v>65</v>
      </c>
      <c r="I1148" s="2" t="s">
        <v>3050</v>
      </c>
      <c r="J1148" s="3" t="str">
        <f>HYPERLINK("https://www.boe.es/gazeta/dias/1819/01/02/pdfs/GMD-1819-1.pdf#page=8","Abrir facsímil")</f>
        <v>Abrir facsímil</v>
      </c>
      <c r="K1148" s="3" t="s">
        <v>67</v>
      </c>
    </row>
    <row r="1149" spans="1:11" ht="42" customHeight="1">
      <c r="A1149" s="2" t="s">
        <v>3051</v>
      </c>
      <c r="B1149" s="2" t="s">
        <v>3052</v>
      </c>
      <c r="C1149" s="2" t="s">
        <v>80</v>
      </c>
      <c r="D1149" s="2" t="s">
        <v>454</v>
      </c>
      <c r="E1149" s="5">
        <v>-29287</v>
      </c>
      <c r="F1149" s="3" t="s">
        <v>455</v>
      </c>
      <c r="G1149" s="3" t="s">
        <v>1113</v>
      </c>
      <c r="H1149" s="2" t="s">
        <v>65</v>
      </c>
      <c r="I1149" s="2" t="s">
        <v>3053</v>
      </c>
      <c r="J1149" s="3" t="str">
        <f>HYPERLINK("https://www.boe.es/gazeta/dias/1819/10/24/pdfs/GMD-1819-131E.pdf#page=7","Abrir facsímil")</f>
        <v>Abrir facsímil</v>
      </c>
      <c r="K1149" s="3" t="s">
        <v>67</v>
      </c>
    </row>
    <row r="1150" spans="1:11" ht="42" customHeight="1">
      <c r="A1150" s="2" t="s">
        <v>3054</v>
      </c>
      <c r="B1150" s="2" t="s">
        <v>3054</v>
      </c>
      <c r="C1150" s="2" t="s">
        <v>215</v>
      </c>
      <c r="D1150" s="2" t="s">
        <v>18</v>
      </c>
      <c r="E1150" s="5">
        <v>-29558</v>
      </c>
      <c r="F1150" s="3" t="s">
        <v>1463</v>
      </c>
      <c r="G1150" s="3" t="s">
        <v>28</v>
      </c>
      <c r="H1150" s="2" t="s">
        <v>65</v>
      </c>
      <c r="I1150" s="2" t="s">
        <v>3055</v>
      </c>
      <c r="J1150" s="3" t="str">
        <f>HYPERLINK("https://www.boe.es/gazeta/dias/1819/01/26/pdfs/GMD-1819-11.pdf#page=8","Abrir facsímil")</f>
        <v>Abrir facsímil</v>
      </c>
      <c r="K1150" s="3" t="s">
        <v>67</v>
      </c>
    </row>
    <row r="1151" spans="1:11" ht="42" customHeight="1">
      <c r="A1151" s="2" t="s">
        <v>3056</v>
      </c>
      <c r="B1151" s="2" t="s">
        <v>3056</v>
      </c>
      <c r="C1151" s="2" t="s">
        <v>80</v>
      </c>
      <c r="D1151" s="2" t="s">
        <v>81</v>
      </c>
      <c r="E1151" s="5">
        <v>-29486</v>
      </c>
      <c r="F1151" s="3" t="s">
        <v>330</v>
      </c>
      <c r="G1151" s="3" t="s">
        <v>55</v>
      </c>
      <c r="H1151" s="2" t="s">
        <v>65</v>
      </c>
      <c r="I1151" s="2" t="s">
        <v>3057</v>
      </c>
      <c r="J1151" s="3" t="str">
        <f>HYPERLINK("https://www.boe.es/gazeta/dias/1819/04/08/pdfs/GMD-1819-42.pdf#page=7","Abrir facsímil")</f>
        <v>Abrir facsímil</v>
      </c>
      <c r="K1151" s="3" t="s">
        <v>67</v>
      </c>
    </row>
    <row r="1152" spans="1:11" ht="42" customHeight="1">
      <c r="A1152" s="2" t="s">
        <v>3058</v>
      </c>
      <c r="B1152" s="2" t="s">
        <v>3059</v>
      </c>
      <c r="C1152" s="2" t="s">
        <v>80</v>
      </c>
      <c r="D1152" s="2" t="s">
        <v>81</v>
      </c>
      <c r="E1152" s="5">
        <v>-29542</v>
      </c>
      <c r="F1152" s="3" t="s">
        <v>607</v>
      </c>
      <c r="G1152" s="3" t="s">
        <v>138</v>
      </c>
      <c r="H1152" s="2" t="s">
        <v>65</v>
      </c>
      <c r="I1152" s="2" t="s">
        <v>3060</v>
      </c>
      <c r="J1152" s="3" t="str">
        <f>HYPERLINK("https://www.boe.es/gazeta/dias/1819/02/11/pdfs/GMD-1819-18.pdf#page=12","Abrir facsímil")</f>
        <v>Abrir facsímil</v>
      </c>
      <c r="K1152" s="3" t="s">
        <v>67</v>
      </c>
    </row>
    <row r="1153" spans="1:11" ht="42" customHeight="1">
      <c r="A1153" s="2" t="s">
        <v>3061</v>
      </c>
      <c r="B1153" s="2" t="s">
        <v>3061</v>
      </c>
      <c r="C1153" s="2" t="s">
        <v>80</v>
      </c>
      <c r="D1153" s="2" t="s">
        <v>81</v>
      </c>
      <c r="E1153" s="5">
        <v>-29285</v>
      </c>
      <c r="F1153" s="3" t="s">
        <v>578</v>
      </c>
      <c r="G1153" s="3" t="s">
        <v>3062</v>
      </c>
      <c r="H1153" s="2" t="s">
        <v>65</v>
      </c>
      <c r="I1153" s="2" t="s">
        <v>3063</v>
      </c>
      <c r="J1153" s="3" t="str">
        <f>HYPERLINK("https://www.boe.es/gazeta/dias/1819/10/26/pdfs/GMD-1819-132.pdf#page=4","Abrir facsímil")</f>
        <v>Abrir facsímil</v>
      </c>
      <c r="K1153" s="3" t="s">
        <v>67</v>
      </c>
    </row>
    <row r="1154" spans="1:11" ht="42" customHeight="1">
      <c r="A1154" s="2" t="s">
        <v>3064</v>
      </c>
      <c r="B1154" s="2" t="s">
        <v>3064</v>
      </c>
      <c r="C1154" s="2" t="s">
        <v>26</v>
      </c>
      <c r="D1154" s="2" t="s">
        <v>18</v>
      </c>
      <c r="E1154" s="5">
        <v>-29222</v>
      </c>
      <c r="F1154" s="3" t="s">
        <v>338</v>
      </c>
      <c r="G1154" s="3" t="s">
        <v>3065</v>
      </c>
      <c r="H1154" s="2" t="s">
        <v>65</v>
      </c>
      <c r="I1154" s="2" t="s">
        <v>3066</v>
      </c>
      <c r="J1154" s="3" t="str">
        <f>HYPERLINK("https://www.boe.es/gazeta/dias/1819/12/28/pdfs/GMD-1819-159.pdf#page=3","Abrir facsímil")</f>
        <v>Abrir facsímil</v>
      </c>
      <c r="K1154" s="3" t="s">
        <v>67</v>
      </c>
    </row>
    <row r="1155" spans="1:11" ht="42" customHeight="1">
      <c r="A1155" s="2" t="s">
        <v>3067</v>
      </c>
      <c r="B1155" s="2" t="s">
        <v>3067</v>
      </c>
      <c r="C1155" s="2" t="s">
        <v>80</v>
      </c>
      <c r="D1155" s="2" t="s">
        <v>81</v>
      </c>
      <c r="E1155" s="5">
        <v>-29374</v>
      </c>
      <c r="F1155" s="3" t="s">
        <v>204</v>
      </c>
      <c r="G1155" s="3" t="s">
        <v>296</v>
      </c>
      <c r="H1155" s="2" t="s">
        <v>65</v>
      </c>
      <c r="I1155" s="2" t="s">
        <v>3068</v>
      </c>
      <c r="J1155" s="3" t="str">
        <f>HYPERLINK("https://www.boe.es/gazeta/dias/1819/07/29/pdfs/GMD-1819-91.pdf#page=4","Abrir facsímil")</f>
        <v>Abrir facsímil</v>
      </c>
      <c r="K1155" s="3" t="s">
        <v>67</v>
      </c>
    </row>
    <row r="1156" spans="1:11" ht="42" customHeight="1">
      <c r="A1156" s="2" t="s">
        <v>3069</v>
      </c>
      <c r="B1156" s="2" t="s">
        <v>3069</v>
      </c>
      <c r="C1156" s="2" t="s">
        <v>136</v>
      </c>
      <c r="D1156" s="2" t="s">
        <v>18</v>
      </c>
      <c r="E1156" s="5">
        <v>-29537</v>
      </c>
      <c r="F1156" s="3" t="s">
        <v>593</v>
      </c>
      <c r="G1156" s="3" t="s">
        <v>138</v>
      </c>
      <c r="H1156" s="2" t="s">
        <v>65</v>
      </c>
      <c r="I1156" s="2" t="s">
        <v>3070</v>
      </c>
      <c r="J1156" s="3" t="str">
        <f>HYPERLINK("https://www.boe.es/gazeta/dias/1819/02/16/pdfs/GMD-1819-20.pdf#page=12","Abrir facsímil")</f>
        <v>Abrir facsímil</v>
      </c>
      <c r="K1156" s="3" t="s">
        <v>67</v>
      </c>
    </row>
    <row r="1157" spans="1:11" ht="42" customHeight="1">
      <c r="A1157" s="2" t="s">
        <v>3071</v>
      </c>
      <c r="B1157" s="2" t="s">
        <v>3071</v>
      </c>
      <c r="C1157" s="2" t="s">
        <v>59</v>
      </c>
      <c r="D1157" s="2" t="s">
        <v>18</v>
      </c>
      <c r="E1157" s="5">
        <v>-29556</v>
      </c>
      <c r="F1157" s="3" t="s">
        <v>255</v>
      </c>
      <c r="G1157" s="3" t="s">
        <v>28</v>
      </c>
      <c r="H1157" s="2" t="s">
        <v>65</v>
      </c>
      <c r="I1157" s="2" t="s">
        <v>3072</v>
      </c>
      <c r="J1157" s="3" t="str">
        <f>HYPERLINK("https://www.boe.es/gazeta/dias/1819/01/28/pdfs/GMD-1819-12.pdf#page=8","Abrir facsímil")</f>
        <v>Abrir facsímil</v>
      </c>
      <c r="K1157" s="3" t="s">
        <v>67</v>
      </c>
    </row>
    <row r="1158" spans="1:11" ht="42" customHeight="1">
      <c r="A1158" s="2" t="s">
        <v>3071</v>
      </c>
      <c r="B1158" s="2" t="s">
        <v>3071</v>
      </c>
      <c r="C1158" s="2" t="s">
        <v>80</v>
      </c>
      <c r="D1158" s="2" t="s">
        <v>81</v>
      </c>
      <c r="E1158" s="5">
        <v>-29537</v>
      </c>
      <c r="F1158" s="3" t="s">
        <v>593</v>
      </c>
      <c r="G1158" s="3" t="s">
        <v>138</v>
      </c>
      <c r="H1158" s="2" t="s">
        <v>65</v>
      </c>
      <c r="I1158" s="2" t="s">
        <v>3073</v>
      </c>
      <c r="J1158" s="3" t="str">
        <f>HYPERLINK("https://www.boe.es/gazeta/dias/1819/02/16/pdfs/GMD-1819-20.pdf#page=12","Abrir facsímil")</f>
        <v>Abrir facsímil</v>
      </c>
      <c r="K1158" s="3" t="s">
        <v>67</v>
      </c>
    </row>
    <row r="1159" spans="1:11" ht="42" customHeight="1">
      <c r="A1159" s="2" t="s">
        <v>3071</v>
      </c>
      <c r="B1159" s="2" t="s">
        <v>3071</v>
      </c>
      <c r="C1159" s="2" t="s">
        <v>80</v>
      </c>
      <c r="D1159" s="2" t="s">
        <v>81</v>
      </c>
      <c r="E1159" s="5">
        <v>-29297</v>
      </c>
      <c r="F1159" s="3" t="s">
        <v>82</v>
      </c>
      <c r="G1159" s="3" t="s">
        <v>28</v>
      </c>
      <c r="H1159" s="2" t="s">
        <v>65</v>
      </c>
      <c r="I1159" s="2" t="s">
        <v>3074</v>
      </c>
      <c r="J1159" s="3" t="str">
        <f>HYPERLINK("https://www.boe.es/gazeta/dias/1819/10/14/pdfs/GMD-1819-126.pdf#page=8","Abrir facsímil")</f>
        <v>Abrir facsímil</v>
      </c>
      <c r="K1159" s="3" t="s">
        <v>67</v>
      </c>
    </row>
    <row r="1160" spans="1:11" ht="42" customHeight="1">
      <c r="A1160" s="2" t="s">
        <v>3075</v>
      </c>
      <c r="B1160" s="2" t="s">
        <v>3075</v>
      </c>
      <c r="C1160" s="2" t="s">
        <v>17</v>
      </c>
      <c r="D1160" s="2" t="s">
        <v>18</v>
      </c>
      <c r="E1160" s="5">
        <v>-29432</v>
      </c>
      <c r="F1160" s="3" t="s">
        <v>1967</v>
      </c>
      <c r="G1160" s="3" t="s">
        <v>28</v>
      </c>
      <c r="H1160" s="2" t="s">
        <v>65</v>
      </c>
      <c r="I1160" s="2" t="s">
        <v>3076</v>
      </c>
      <c r="J1160" s="3" t="str">
        <f>HYPERLINK("https://www.boe.es/gazeta/dias/1819/06/01/pdfs/GMD-1819-65.pdf#page=8","Abrir facsímil")</f>
        <v>Abrir facsímil</v>
      </c>
      <c r="K1160" s="3" t="s">
        <v>67</v>
      </c>
    </row>
    <row r="1161" spans="1:11" ht="42" customHeight="1">
      <c r="A1161" s="2" t="s">
        <v>3075</v>
      </c>
      <c r="B1161" s="2" t="s">
        <v>3075</v>
      </c>
      <c r="C1161" s="2" t="s">
        <v>63</v>
      </c>
      <c r="D1161" s="2" t="s">
        <v>43</v>
      </c>
      <c r="E1161" s="5">
        <v>-29316</v>
      </c>
      <c r="F1161" s="3" t="s">
        <v>166</v>
      </c>
      <c r="G1161" s="3" t="s">
        <v>456</v>
      </c>
      <c r="H1161" s="2" t="s">
        <v>65</v>
      </c>
      <c r="I1161" s="2" t="s">
        <v>3077</v>
      </c>
      <c r="J1161" s="3" t="str">
        <f>HYPERLINK("https://www.boe.es/gazeta/dias/1819/09/25/pdfs/GMD-1819-118.pdf#page=9","Abrir facsímil")</f>
        <v>Abrir facsímil</v>
      </c>
      <c r="K1161" s="3" t="s">
        <v>67</v>
      </c>
    </row>
    <row r="1162" spans="1:11" ht="42" customHeight="1">
      <c r="A1162" s="2" t="s">
        <v>3078</v>
      </c>
      <c r="B1162" s="2" t="s">
        <v>3078</v>
      </c>
      <c r="C1162" s="2" t="s">
        <v>63</v>
      </c>
      <c r="D1162" s="2" t="s">
        <v>43</v>
      </c>
      <c r="E1162" s="5">
        <v>-29383</v>
      </c>
      <c r="F1162" s="3" t="s">
        <v>631</v>
      </c>
      <c r="G1162" s="3" t="s">
        <v>28</v>
      </c>
      <c r="H1162" s="2" t="s">
        <v>65</v>
      </c>
      <c r="I1162" s="2" t="s">
        <v>3079</v>
      </c>
      <c r="J1162" s="3" t="str">
        <f>HYPERLINK("https://www.boe.es/gazeta/dias/1819/07/20/pdfs/GMD-1819-87.pdf#page=8","Abrir facsímil")</f>
        <v>Abrir facsímil</v>
      </c>
      <c r="K1162" s="3" t="s">
        <v>67</v>
      </c>
    </row>
    <row r="1163" spans="1:11" ht="42" customHeight="1">
      <c r="A1163" s="2" t="s">
        <v>3080</v>
      </c>
      <c r="B1163" s="2" t="s">
        <v>3081</v>
      </c>
      <c r="C1163" s="2" t="s">
        <v>59</v>
      </c>
      <c r="D1163" s="2" t="s">
        <v>18</v>
      </c>
      <c r="E1163" s="5">
        <v>-29334</v>
      </c>
      <c r="F1163" s="3" t="s">
        <v>3082</v>
      </c>
      <c r="G1163" s="3" t="s">
        <v>28</v>
      </c>
      <c r="H1163" s="2" t="s">
        <v>65</v>
      </c>
      <c r="I1163" s="2" t="s">
        <v>3083</v>
      </c>
      <c r="J1163" s="3" t="str">
        <f>HYPERLINK("https://www.boe.es/gazeta/dias/1819/09/07/pdfs/GMD-1819-109.pdf#page=8","Abrir facsímil")</f>
        <v>Abrir facsímil</v>
      </c>
      <c r="K1163" s="3" t="s">
        <v>67</v>
      </c>
    </row>
    <row r="1164" spans="1:11" ht="42" customHeight="1">
      <c r="A1164" s="2" t="s">
        <v>3084</v>
      </c>
      <c r="B1164" s="2" t="s">
        <v>3084</v>
      </c>
      <c r="C1164" s="2" t="s">
        <v>17</v>
      </c>
      <c r="D1164" s="2" t="s">
        <v>18</v>
      </c>
      <c r="E1164" s="5">
        <v>-29516</v>
      </c>
      <c r="F1164" s="3" t="s">
        <v>137</v>
      </c>
      <c r="G1164" s="3" t="s">
        <v>138</v>
      </c>
      <c r="H1164" s="2" t="s">
        <v>65</v>
      </c>
      <c r="I1164" s="2" t="s">
        <v>3085</v>
      </c>
      <c r="J1164" s="3" t="str">
        <f>HYPERLINK("https://www.boe.es/gazeta/dias/1819/03/09/pdfs/GMD-1819-29.pdf#page=12","Abrir facsímil")</f>
        <v>Abrir facsímil</v>
      </c>
      <c r="K1164" s="3" t="s">
        <v>67</v>
      </c>
    </row>
    <row r="1165" spans="1:11" ht="42" customHeight="1">
      <c r="A1165" s="2" t="s">
        <v>3084</v>
      </c>
      <c r="B1165" s="2" t="s">
        <v>3084</v>
      </c>
      <c r="C1165" s="2" t="s">
        <v>26</v>
      </c>
      <c r="D1165" s="2" t="s">
        <v>18</v>
      </c>
      <c r="E1165" s="5">
        <v>-29414</v>
      </c>
      <c r="F1165" s="3" t="s">
        <v>732</v>
      </c>
      <c r="G1165" s="3" t="s">
        <v>28</v>
      </c>
      <c r="H1165" s="2" t="s">
        <v>65</v>
      </c>
      <c r="I1165" s="2" t="s">
        <v>3086</v>
      </c>
      <c r="J1165" s="3" t="str">
        <f>HYPERLINK("https://www.boe.es/gazeta/dias/1819/06/19/pdfs/GMD-1819-74.pdf#page=8","Abrir facsímil")</f>
        <v>Abrir facsímil</v>
      </c>
      <c r="K1165" s="3" t="s">
        <v>67</v>
      </c>
    </row>
    <row r="1166" spans="1:11" ht="42" customHeight="1">
      <c r="A1166" s="2" t="s">
        <v>3084</v>
      </c>
      <c r="B1166" s="2" t="s">
        <v>3084</v>
      </c>
      <c r="C1166" s="2" t="s">
        <v>59</v>
      </c>
      <c r="D1166" s="2" t="s">
        <v>18</v>
      </c>
      <c r="E1166" s="5">
        <v>-29381</v>
      </c>
      <c r="F1166" s="3" t="s">
        <v>736</v>
      </c>
      <c r="G1166" s="3" t="s">
        <v>38</v>
      </c>
      <c r="H1166" s="2" t="s">
        <v>65</v>
      </c>
      <c r="I1166" s="2" t="s">
        <v>3087</v>
      </c>
      <c r="J1166" s="3" t="str">
        <f>HYPERLINK("https://www.boe.es/gazeta/dias/1819/07/22/pdfs/GMD-1819-88.pdf#page=5","Abrir facsímil")</f>
        <v>Abrir facsímil</v>
      </c>
      <c r="K1166" s="3" t="s">
        <v>67</v>
      </c>
    </row>
    <row r="1167" spans="1:11" ht="42" customHeight="1">
      <c r="A1167" s="2" t="s">
        <v>3084</v>
      </c>
      <c r="B1167" s="2" t="s">
        <v>3084</v>
      </c>
      <c r="C1167" s="2" t="s">
        <v>63</v>
      </c>
      <c r="D1167" s="2" t="s">
        <v>43</v>
      </c>
      <c r="E1167" s="5">
        <v>-29276</v>
      </c>
      <c r="F1167" s="3" t="s">
        <v>54</v>
      </c>
      <c r="G1167" s="3" t="s">
        <v>28</v>
      </c>
      <c r="H1167" s="2" t="s">
        <v>65</v>
      </c>
      <c r="I1167" s="2" t="s">
        <v>3088</v>
      </c>
      <c r="J1167" s="3" t="str">
        <f>HYPERLINK("https://www.boe.es/gazeta/dias/1819/11/04/pdfs/GMD-1819-136.pdf#page=8","Abrir facsímil")</f>
        <v>Abrir facsímil</v>
      </c>
      <c r="K1167" s="3" t="s">
        <v>67</v>
      </c>
    </row>
    <row r="1168" spans="1:11" ht="42" customHeight="1">
      <c r="A1168" s="2" t="s">
        <v>3089</v>
      </c>
      <c r="B1168" s="2" t="s">
        <v>3090</v>
      </c>
      <c r="C1168" s="2" t="s">
        <v>63</v>
      </c>
      <c r="D1168" s="2" t="s">
        <v>43</v>
      </c>
      <c r="E1168" s="5">
        <v>-29260</v>
      </c>
      <c r="F1168" s="3" t="s">
        <v>93</v>
      </c>
      <c r="G1168" s="3" t="s">
        <v>138</v>
      </c>
      <c r="H1168" s="2" t="s">
        <v>65</v>
      </c>
      <c r="I1168" s="2" t="s">
        <v>3091</v>
      </c>
      <c r="J1168" s="3" t="str">
        <f>HYPERLINK("https://www.boe.es/gazeta/dias/1819/11/20/pdfs/GMD-1819-143.pdf#page=12","Abrir facsímil")</f>
        <v>Abrir facsímil</v>
      </c>
      <c r="K1168" s="3" t="s">
        <v>67</v>
      </c>
    </row>
    <row r="1169" spans="1:11" ht="42" customHeight="1">
      <c r="A1169" s="2" t="s">
        <v>3092</v>
      </c>
      <c r="B1169" s="2" t="s">
        <v>3093</v>
      </c>
      <c r="C1169" s="2" t="s">
        <v>80</v>
      </c>
      <c r="D1169" s="2" t="s">
        <v>81</v>
      </c>
      <c r="E1169" s="5">
        <v>-29442</v>
      </c>
      <c r="F1169" s="3" t="s">
        <v>427</v>
      </c>
      <c r="G1169" s="3" t="s">
        <v>55</v>
      </c>
      <c r="H1169" s="2" t="s">
        <v>65</v>
      </c>
      <c r="I1169" s="2" t="s">
        <v>3094</v>
      </c>
      <c r="J1169" s="3" t="str">
        <f>HYPERLINK("https://www.boe.es/gazeta/dias/1819/05/22/pdfs/GMD-1819-61.pdf#page=7","Abrir facsímil")</f>
        <v>Abrir facsímil</v>
      </c>
      <c r="K1169" s="3" t="s">
        <v>67</v>
      </c>
    </row>
    <row r="1170" spans="1:11" ht="42" customHeight="1">
      <c r="A1170" s="2" t="s">
        <v>3095</v>
      </c>
      <c r="B1170" s="2" t="s">
        <v>3096</v>
      </c>
      <c r="C1170" s="2" t="s">
        <v>80</v>
      </c>
      <c r="D1170" s="2" t="s">
        <v>81</v>
      </c>
      <c r="E1170" s="5">
        <v>-29442</v>
      </c>
      <c r="F1170" s="3" t="s">
        <v>427</v>
      </c>
      <c r="G1170" s="3" t="s">
        <v>38</v>
      </c>
      <c r="H1170" s="2" t="s">
        <v>65</v>
      </c>
      <c r="I1170" s="2" t="s">
        <v>3097</v>
      </c>
      <c r="J1170" s="3" t="str">
        <f>HYPERLINK("https://www.boe.es/gazeta/dias/1819/05/22/pdfs/GMD-1819-61.pdf#page=5","Abrir facsímil")</f>
        <v>Abrir facsímil</v>
      </c>
      <c r="K1170" s="3" t="s">
        <v>67</v>
      </c>
    </row>
    <row r="1171" spans="1:11" ht="42" customHeight="1">
      <c r="A1171" s="2" t="s">
        <v>3098</v>
      </c>
      <c r="B1171" s="2" t="s">
        <v>3099</v>
      </c>
      <c r="C1171" s="2" t="s">
        <v>63</v>
      </c>
      <c r="D1171" s="2" t="s">
        <v>43</v>
      </c>
      <c r="E1171" s="5">
        <v>-29299</v>
      </c>
      <c r="F1171" s="3" t="s">
        <v>798</v>
      </c>
      <c r="G1171" s="3" t="s">
        <v>1562</v>
      </c>
      <c r="H1171" s="2" t="s">
        <v>65</v>
      </c>
      <c r="I1171" s="2" t="s">
        <v>3100</v>
      </c>
      <c r="J1171" s="3" t="str">
        <f>HYPERLINK("https://www.boe.es/gazeta/dias/1819/10/12/pdfs/GMD-1819-125.pdf#page=8","Abrir facsímil")</f>
        <v>Abrir facsímil</v>
      </c>
      <c r="K1171" s="3" t="s">
        <v>67</v>
      </c>
    </row>
    <row r="1172" spans="1:11" ht="42" customHeight="1">
      <c r="A1172" s="2" t="s">
        <v>3101</v>
      </c>
      <c r="B1172" s="2" t="s">
        <v>3102</v>
      </c>
      <c r="C1172" s="2" t="s">
        <v>136</v>
      </c>
      <c r="D1172" s="2" t="s">
        <v>18</v>
      </c>
      <c r="E1172" s="5">
        <v>-29535</v>
      </c>
      <c r="F1172" s="3" t="s">
        <v>200</v>
      </c>
      <c r="G1172" s="3" t="s">
        <v>33</v>
      </c>
      <c r="H1172" s="2" t="s">
        <v>65</v>
      </c>
      <c r="I1172" s="2" t="s">
        <v>3103</v>
      </c>
      <c r="J1172" s="3" t="str">
        <f>HYPERLINK("https://www.boe.es/gazeta/dias/1819/02/18/pdfs/GMD-1819-21.pdf#page=6","Abrir facsímil")</f>
        <v>Abrir facsímil</v>
      </c>
      <c r="K1172" s="3" t="s">
        <v>67</v>
      </c>
    </row>
    <row r="1173" spans="1:11" ht="42" customHeight="1">
      <c r="A1173" s="2" t="s">
        <v>3104</v>
      </c>
      <c r="B1173" s="2" t="s">
        <v>3104</v>
      </c>
      <c r="C1173" s="2" t="s">
        <v>59</v>
      </c>
      <c r="D1173" s="2" t="s">
        <v>18</v>
      </c>
      <c r="E1173" s="5">
        <v>-29530</v>
      </c>
      <c r="F1173" s="3" t="s">
        <v>202</v>
      </c>
      <c r="G1173" s="3" t="s">
        <v>28</v>
      </c>
      <c r="H1173" s="2" t="s">
        <v>65</v>
      </c>
      <c r="I1173" s="2" t="s">
        <v>3105</v>
      </c>
      <c r="J1173" s="3" t="str">
        <f>HYPERLINK("https://www.boe.es/gazeta/dias/1819/02/23/pdfs/GMD-1819-23.pdf#page=8","Abrir facsímil")</f>
        <v>Abrir facsímil</v>
      </c>
      <c r="K1173" s="3" t="s">
        <v>67</v>
      </c>
    </row>
    <row r="1174" spans="1:11" ht="42" customHeight="1">
      <c r="A1174" s="2" t="s">
        <v>3106</v>
      </c>
      <c r="B1174" s="2" t="s">
        <v>3107</v>
      </c>
      <c r="C1174" s="2" t="s">
        <v>63</v>
      </c>
      <c r="D1174" s="2" t="s">
        <v>454</v>
      </c>
      <c r="E1174" s="5">
        <v>-29287</v>
      </c>
      <c r="F1174" s="3" t="s">
        <v>455</v>
      </c>
      <c r="G1174" s="3" t="s">
        <v>456</v>
      </c>
      <c r="H1174" s="2" t="s">
        <v>21</v>
      </c>
      <c r="I1174" s="2" t="s">
        <v>3108</v>
      </c>
      <c r="J1174" s="3" t="str">
        <f>HYPERLINK("https://www.boe.es/gazeta/dias/1819/10/24/pdfs/GMD-1819-131E.pdf#page=9","Abrir facsímil")</f>
        <v>Abrir facsímil</v>
      </c>
      <c r="K1174" s="3" t="s">
        <v>23</v>
      </c>
    </row>
    <row r="1175" spans="1:11" ht="42" customHeight="1">
      <c r="A1175" s="2" t="s">
        <v>3109</v>
      </c>
      <c r="B1175" s="2" t="s">
        <v>3109</v>
      </c>
      <c r="C1175" s="2" t="s">
        <v>63</v>
      </c>
      <c r="D1175" s="2" t="s">
        <v>43</v>
      </c>
      <c r="E1175" s="5">
        <v>-29334</v>
      </c>
      <c r="F1175" s="3" t="s">
        <v>3082</v>
      </c>
      <c r="G1175" s="3" t="s">
        <v>55</v>
      </c>
      <c r="H1175" s="2" t="s">
        <v>65</v>
      </c>
      <c r="I1175" s="2" t="s">
        <v>3110</v>
      </c>
      <c r="J1175" s="3" t="str">
        <f>HYPERLINK("https://www.boe.es/gazeta/dias/1819/09/07/pdfs/GMD-1819-109.pdf#page=7","Abrir facsímil")</f>
        <v>Abrir facsímil</v>
      </c>
      <c r="K1175" s="3" t="s">
        <v>67</v>
      </c>
    </row>
    <row r="1176" spans="1:11" ht="42" customHeight="1">
      <c r="A1176" s="2" t="s">
        <v>3111</v>
      </c>
      <c r="B1176" s="2" t="s">
        <v>3112</v>
      </c>
      <c r="C1176" s="2" t="s">
        <v>63</v>
      </c>
      <c r="D1176" s="2" t="s">
        <v>43</v>
      </c>
      <c r="E1176" s="5">
        <v>-29383</v>
      </c>
      <c r="F1176" s="3" t="s">
        <v>631</v>
      </c>
      <c r="G1176" s="3" t="s">
        <v>28</v>
      </c>
      <c r="H1176" s="2" t="s">
        <v>65</v>
      </c>
      <c r="I1176" s="2" t="s">
        <v>3113</v>
      </c>
      <c r="J1176" s="3" t="str">
        <f>HYPERLINK("https://www.boe.es/gazeta/dias/1819/07/20/pdfs/GMD-1819-87.pdf#page=8","Abrir facsímil")</f>
        <v>Abrir facsímil</v>
      </c>
      <c r="K1176" s="3" t="s">
        <v>67</v>
      </c>
    </row>
    <row r="1177" spans="1:11" ht="42" customHeight="1">
      <c r="A1177" s="2" t="s">
        <v>3111</v>
      </c>
      <c r="B1177" s="2" t="s">
        <v>3112</v>
      </c>
      <c r="C1177" s="2" t="s">
        <v>63</v>
      </c>
      <c r="D1177" s="2" t="s">
        <v>43</v>
      </c>
      <c r="E1177" s="5">
        <v>-29332</v>
      </c>
      <c r="F1177" s="3" t="s">
        <v>499</v>
      </c>
      <c r="G1177" s="3" t="s">
        <v>28</v>
      </c>
      <c r="H1177" s="2" t="s">
        <v>65</v>
      </c>
      <c r="I1177" s="2" t="s">
        <v>3114</v>
      </c>
      <c r="J1177" s="3" t="str">
        <f>HYPERLINK("https://www.boe.es/gazeta/dias/1819/09/09/pdfs/GMD-1819-110.pdf#page=8","Abrir facsímil")</f>
        <v>Abrir facsímil</v>
      </c>
      <c r="K1177" s="3" t="s">
        <v>67</v>
      </c>
    </row>
    <row r="1178" spans="1:11" ht="42" customHeight="1">
      <c r="A1178" s="2" t="s">
        <v>3115</v>
      </c>
      <c r="B1178" s="2" t="s">
        <v>3116</v>
      </c>
      <c r="C1178" s="2" t="s">
        <v>80</v>
      </c>
      <c r="D1178" s="2" t="s">
        <v>81</v>
      </c>
      <c r="E1178" s="5">
        <v>-29575</v>
      </c>
      <c r="F1178" s="3" t="s">
        <v>77</v>
      </c>
      <c r="G1178" s="3" t="s">
        <v>55</v>
      </c>
      <c r="H1178" s="2" t="s">
        <v>65</v>
      </c>
      <c r="I1178" s="2" t="s">
        <v>3117</v>
      </c>
      <c r="J1178" s="3" t="str">
        <f>HYPERLINK("https://www.boe.es/gazeta/dias/1819/01/09/pdfs/GMD-1819-4.pdf#page=7","Abrir facsímil")</f>
        <v>Abrir facsímil</v>
      </c>
      <c r="K1178" s="3" t="s">
        <v>67</v>
      </c>
    </row>
    <row r="1179" spans="1:11" ht="42" customHeight="1">
      <c r="A1179" s="2" t="s">
        <v>3118</v>
      </c>
      <c r="B1179" s="2" t="s">
        <v>3118</v>
      </c>
      <c r="C1179" s="2" t="s">
        <v>59</v>
      </c>
      <c r="D1179" s="2" t="s">
        <v>454</v>
      </c>
      <c r="E1179" s="5">
        <v>-29419</v>
      </c>
      <c r="F1179" s="3" t="s">
        <v>1491</v>
      </c>
      <c r="G1179" s="3" t="s">
        <v>259</v>
      </c>
      <c r="H1179" s="2" t="s">
        <v>65</v>
      </c>
      <c r="I1179" s="2" t="s">
        <v>3119</v>
      </c>
      <c r="J1179" s="3" t="str">
        <f>HYPERLINK("https://www.boe.es/gazeta/dias/1819/06/14/pdfs/GMD-1819-71E.pdf#page=2","Abrir facsímil")</f>
        <v>Abrir facsímil</v>
      </c>
      <c r="K1179" s="3" t="s">
        <v>67</v>
      </c>
    </row>
    <row r="1180" spans="1:11" ht="42" customHeight="1">
      <c r="A1180" s="2" t="s">
        <v>3120</v>
      </c>
      <c r="B1180" s="2" t="s">
        <v>3121</v>
      </c>
      <c r="C1180" s="2" t="s">
        <v>26</v>
      </c>
      <c r="D1180" s="2" t="s">
        <v>18</v>
      </c>
      <c r="E1180" s="5">
        <v>-29355</v>
      </c>
      <c r="F1180" s="3" t="s">
        <v>347</v>
      </c>
      <c r="G1180" s="3" t="s">
        <v>348</v>
      </c>
      <c r="H1180" s="2" t="s">
        <v>65</v>
      </c>
      <c r="I1180" s="2" t="s">
        <v>3122</v>
      </c>
      <c r="J1180" s="3" t="str">
        <f>HYPERLINK("https://www.boe.es/gazeta/dias/1819/08/17/pdfs/GMD-1819-99.pdf#page=6","Abrir facsímil")</f>
        <v>Abrir facsímil</v>
      </c>
      <c r="K1180" s="3" t="s">
        <v>67</v>
      </c>
    </row>
    <row r="1181" spans="1:11" ht="42" customHeight="1">
      <c r="A1181" s="2" t="s">
        <v>3123</v>
      </c>
      <c r="B1181" s="2" t="s">
        <v>3124</v>
      </c>
      <c r="C1181" s="2" t="s">
        <v>26</v>
      </c>
      <c r="D1181" s="2" t="s">
        <v>18</v>
      </c>
      <c r="E1181" s="5">
        <v>-29355</v>
      </c>
      <c r="F1181" s="3" t="s">
        <v>347</v>
      </c>
      <c r="G1181" s="3" t="s">
        <v>348</v>
      </c>
      <c r="H1181" s="2" t="s">
        <v>65</v>
      </c>
      <c r="I1181" s="2" t="s">
        <v>3125</v>
      </c>
      <c r="J1181" s="3" t="str">
        <f>HYPERLINK("https://www.boe.es/gazeta/dias/1819/08/17/pdfs/GMD-1819-99.pdf#page=6","Abrir facsímil")</f>
        <v>Abrir facsímil</v>
      </c>
      <c r="K1181" s="3" t="s">
        <v>67</v>
      </c>
    </row>
    <row r="1182" spans="1:11" ht="42" customHeight="1">
      <c r="A1182" s="2" t="s">
        <v>3126</v>
      </c>
      <c r="B1182" s="2" t="s">
        <v>3127</v>
      </c>
      <c r="C1182" s="2" t="s">
        <v>59</v>
      </c>
      <c r="D1182" s="2" t="s">
        <v>18</v>
      </c>
      <c r="E1182" s="5">
        <v>-29285</v>
      </c>
      <c r="F1182" s="3" t="s">
        <v>578</v>
      </c>
      <c r="G1182" s="3" t="s">
        <v>28</v>
      </c>
      <c r="H1182" s="2" t="s">
        <v>65</v>
      </c>
      <c r="I1182" s="2" t="s">
        <v>3128</v>
      </c>
      <c r="J1182" s="3" t="str">
        <f>HYPERLINK("https://www.boe.es/gazeta/dias/1819/10/26/pdfs/GMD-1819-132.pdf#page=8","Abrir facsímil")</f>
        <v>Abrir facsímil</v>
      </c>
      <c r="K1182" s="3" t="s">
        <v>67</v>
      </c>
    </row>
    <row r="1183" spans="1:11" ht="42" customHeight="1">
      <c r="A1183" s="2" t="s">
        <v>3129</v>
      </c>
      <c r="B1183" s="2" t="s">
        <v>3130</v>
      </c>
      <c r="C1183" s="2" t="s">
        <v>63</v>
      </c>
      <c r="D1183" s="2" t="s">
        <v>43</v>
      </c>
      <c r="E1183" s="5">
        <v>-29565</v>
      </c>
      <c r="F1183" s="3" t="s">
        <v>293</v>
      </c>
      <c r="G1183" s="3" t="s">
        <v>1608</v>
      </c>
      <c r="H1183" s="2" t="s">
        <v>65</v>
      </c>
      <c r="I1183" s="2" t="s">
        <v>3131</v>
      </c>
      <c r="J1183" s="3" t="str">
        <f>HYPERLINK("https://www.boe.es/gazeta/dias/1819/01/19/pdfs/GMD-1819-8.pdf#page=8","Abrir facsímil")</f>
        <v>Abrir facsímil</v>
      </c>
      <c r="K1183" s="3" t="s">
        <v>67</v>
      </c>
    </row>
    <row r="1184" spans="1:11" ht="42" customHeight="1">
      <c r="A1184" s="2" t="s">
        <v>3129</v>
      </c>
      <c r="B1184" s="2" t="s">
        <v>3130</v>
      </c>
      <c r="C1184" s="2" t="s">
        <v>63</v>
      </c>
      <c r="D1184" s="2" t="s">
        <v>43</v>
      </c>
      <c r="E1184" s="5">
        <v>-29563</v>
      </c>
      <c r="F1184" s="3" t="s">
        <v>1087</v>
      </c>
      <c r="G1184" s="3" t="s">
        <v>28</v>
      </c>
      <c r="H1184" s="2" t="s">
        <v>65</v>
      </c>
      <c r="I1184" s="2" t="s">
        <v>3132</v>
      </c>
      <c r="J1184" s="3" t="str">
        <f>HYPERLINK("https://www.boe.es/gazeta/dias/1819/01/21/pdfs/GMD-1819-9.pdf#page=8","Abrir facsímil")</f>
        <v>Abrir facsímil</v>
      </c>
      <c r="K1184" s="3" t="s">
        <v>67</v>
      </c>
    </row>
    <row r="1185" spans="1:11" ht="42" customHeight="1">
      <c r="A1185" s="2" t="s">
        <v>3129</v>
      </c>
      <c r="B1185" s="2" t="s">
        <v>3130</v>
      </c>
      <c r="C1185" s="2" t="s">
        <v>215</v>
      </c>
      <c r="D1185" s="2" t="s">
        <v>18</v>
      </c>
      <c r="E1185" s="5">
        <v>-29558</v>
      </c>
      <c r="F1185" s="3" t="s">
        <v>1463</v>
      </c>
      <c r="G1185" s="3" t="s">
        <v>28</v>
      </c>
      <c r="H1185" s="2" t="s">
        <v>65</v>
      </c>
      <c r="I1185" s="2" t="s">
        <v>3133</v>
      </c>
      <c r="J1185" s="3" t="str">
        <f>HYPERLINK("https://www.boe.es/gazeta/dias/1819/01/26/pdfs/GMD-1819-11.pdf#page=8","Abrir facsímil")</f>
        <v>Abrir facsímil</v>
      </c>
      <c r="K1185" s="3" t="s">
        <v>67</v>
      </c>
    </row>
    <row r="1186" spans="1:11" ht="42" customHeight="1">
      <c r="A1186" s="2" t="s">
        <v>3129</v>
      </c>
      <c r="B1186" s="2" t="s">
        <v>3130</v>
      </c>
      <c r="C1186" s="2" t="s">
        <v>26</v>
      </c>
      <c r="D1186" s="2" t="s">
        <v>18</v>
      </c>
      <c r="E1186" s="5">
        <v>-29544</v>
      </c>
      <c r="F1186" s="3" t="s">
        <v>531</v>
      </c>
      <c r="G1186" s="3" t="s">
        <v>532</v>
      </c>
      <c r="H1186" s="2" t="s">
        <v>65</v>
      </c>
      <c r="I1186" s="2" t="s">
        <v>3134</v>
      </c>
      <c r="J1186" s="3" t="str">
        <f>HYPERLINK("https://www.boe.es/gazeta/dias/1819/02/09/pdfs/GMD-1819-17.pdf#page=8","Abrir facsímil")</f>
        <v>Abrir facsímil</v>
      </c>
      <c r="K1186" s="3" t="s">
        <v>67</v>
      </c>
    </row>
    <row r="1187" spans="1:11" ht="42" customHeight="1">
      <c r="A1187" s="2" t="s">
        <v>3129</v>
      </c>
      <c r="B1187" s="2" t="s">
        <v>3130</v>
      </c>
      <c r="C1187" s="2" t="s">
        <v>63</v>
      </c>
      <c r="D1187" s="2" t="s">
        <v>43</v>
      </c>
      <c r="E1187" s="5">
        <v>-29535</v>
      </c>
      <c r="F1187" s="3" t="s">
        <v>200</v>
      </c>
      <c r="G1187" s="3" t="s">
        <v>28</v>
      </c>
      <c r="H1187" s="2" t="s">
        <v>65</v>
      </c>
      <c r="I1187" s="2" t="s">
        <v>3135</v>
      </c>
      <c r="J1187" s="3" t="str">
        <f>HYPERLINK("https://www.boe.es/gazeta/dias/1819/02/18/pdfs/GMD-1819-21.pdf#page=8","Abrir facsímil")</f>
        <v>Abrir facsímil</v>
      </c>
      <c r="K1187" s="3" t="s">
        <v>67</v>
      </c>
    </row>
    <row r="1188" spans="1:11" ht="42" customHeight="1">
      <c r="A1188" s="2" t="s">
        <v>3129</v>
      </c>
      <c r="B1188" s="2" t="s">
        <v>3130</v>
      </c>
      <c r="C1188" s="2" t="s">
        <v>17</v>
      </c>
      <c r="D1188" s="2" t="s">
        <v>18</v>
      </c>
      <c r="E1188" s="5">
        <v>-29526</v>
      </c>
      <c r="F1188" s="3" t="s">
        <v>307</v>
      </c>
      <c r="G1188" s="3" t="s">
        <v>28</v>
      </c>
      <c r="H1188" s="2" t="s">
        <v>65</v>
      </c>
      <c r="I1188" s="2" t="s">
        <v>3136</v>
      </c>
      <c r="J1188" s="3" t="str">
        <f>HYPERLINK("https://www.boe.es/gazeta/dias/1819/02/27/pdfs/GMD-1819-25.pdf#page=8","Abrir facsímil")</f>
        <v>Abrir facsímil</v>
      </c>
      <c r="K1188" s="3" t="s">
        <v>67</v>
      </c>
    </row>
    <row r="1189" spans="1:11" ht="42" customHeight="1">
      <c r="A1189" s="2" t="s">
        <v>3129</v>
      </c>
      <c r="B1189" s="2" t="s">
        <v>3130</v>
      </c>
      <c r="C1189" s="2" t="s">
        <v>63</v>
      </c>
      <c r="D1189" s="2" t="s">
        <v>43</v>
      </c>
      <c r="E1189" s="5">
        <v>-29512</v>
      </c>
      <c r="F1189" s="3" t="s">
        <v>741</v>
      </c>
      <c r="G1189" s="3" t="s">
        <v>28</v>
      </c>
      <c r="H1189" s="2" t="s">
        <v>65</v>
      </c>
      <c r="I1189" s="2" t="s">
        <v>3137</v>
      </c>
      <c r="J1189" s="3" t="str">
        <f>HYPERLINK("https://www.boe.es/gazeta/dias/1819/03/13/pdfs/GMD-1819-31.pdf#page=8","Abrir facsímil")</f>
        <v>Abrir facsímil</v>
      </c>
      <c r="K1189" s="3" t="s">
        <v>67</v>
      </c>
    </row>
    <row r="1190" spans="1:11" ht="42" customHeight="1">
      <c r="A1190" s="2" t="s">
        <v>3129</v>
      </c>
      <c r="B1190" s="2" t="s">
        <v>3130</v>
      </c>
      <c r="C1190" s="2" t="s">
        <v>63</v>
      </c>
      <c r="D1190" s="2" t="s">
        <v>43</v>
      </c>
      <c r="E1190" s="5">
        <v>-29507</v>
      </c>
      <c r="F1190" s="3" t="s">
        <v>1928</v>
      </c>
      <c r="G1190" s="3" t="s">
        <v>28</v>
      </c>
      <c r="H1190" s="2" t="s">
        <v>65</v>
      </c>
      <c r="I1190" s="2" t="s">
        <v>3138</v>
      </c>
      <c r="J1190" s="3" t="str">
        <f>HYPERLINK("https://www.boe.es/gazeta/dias/1819/03/18/pdfs/GMD-1819-33.pdf#page=8","Abrir facsímil")</f>
        <v>Abrir facsímil</v>
      </c>
      <c r="K1190" s="3" t="s">
        <v>67</v>
      </c>
    </row>
    <row r="1191" spans="1:11" ht="42" customHeight="1">
      <c r="A1191" s="2" t="s">
        <v>3129</v>
      </c>
      <c r="B1191" s="2" t="s">
        <v>3130</v>
      </c>
      <c r="C1191" s="2" t="s">
        <v>136</v>
      </c>
      <c r="D1191" s="2" t="s">
        <v>18</v>
      </c>
      <c r="E1191" s="5">
        <v>-29500</v>
      </c>
      <c r="F1191" s="3" t="s">
        <v>212</v>
      </c>
      <c r="G1191" s="3" t="s">
        <v>55</v>
      </c>
      <c r="H1191" s="2" t="s">
        <v>65</v>
      </c>
      <c r="I1191" s="2" t="s">
        <v>3139</v>
      </c>
      <c r="J1191" s="3" t="str">
        <f>HYPERLINK("https://www.boe.es/gazeta/dias/1819/03/25/pdfs/GMD-1819-36.pdf#page=7","Abrir facsímil")</f>
        <v>Abrir facsímil</v>
      </c>
      <c r="K1191" s="3" t="s">
        <v>67</v>
      </c>
    </row>
    <row r="1192" spans="1:11" ht="42" customHeight="1">
      <c r="A1192" s="2" t="s">
        <v>3129</v>
      </c>
      <c r="B1192" s="2" t="s">
        <v>3130</v>
      </c>
      <c r="C1192" s="2" t="s">
        <v>63</v>
      </c>
      <c r="D1192" s="2" t="s">
        <v>43</v>
      </c>
      <c r="E1192" s="5">
        <v>-29495</v>
      </c>
      <c r="F1192" s="3" t="s">
        <v>992</v>
      </c>
      <c r="G1192" s="3" t="s">
        <v>993</v>
      </c>
      <c r="H1192" s="2" t="s">
        <v>65</v>
      </c>
      <c r="I1192" s="2" t="s">
        <v>3140</v>
      </c>
      <c r="J1192" s="3" t="str">
        <f>HYPERLINK("https://www.boe.es/gazeta/dias/1819/03/30/pdfs/GMD-1819-38.pdf#page=12","Abrir facsímil")</f>
        <v>Abrir facsímil</v>
      </c>
      <c r="K1192" s="3" t="s">
        <v>67</v>
      </c>
    </row>
    <row r="1193" spans="1:11" ht="42" customHeight="1">
      <c r="A1193" s="2" t="s">
        <v>3129</v>
      </c>
      <c r="B1193" s="2" t="s">
        <v>3130</v>
      </c>
      <c r="C1193" s="2" t="s">
        <v>63</v>
      </c>
      <c r="D1193" s="2" t="s">
        <v>43</v>
      </c>
      <c r="E1193" s="5">
        <v>-29491</v>
      </c>
      <c r="F1193" s="3" t="s">
        <v>1604</v>
      </c>
      <c r="G1193" s="3" t="s">
        <v>28</v>
      </c>
      <c r="H1193" s="2" t="s">
        <v>65</v>
      </c>
      <c r="I1193" s="2" t="s">
        <v>3141</v>
      </c>
      <c r="J1193" s="3" t="str">
        <f>HYPERLINK("https://www.boe.es/gazeta/dias/1819/04/03/pdfs/GMD-1819-40.pdf#page=8","Abrir facsímil")</f>
        <v>Abrir facsímil</v>
      </c>
      <c r="K1193" s="3" t="s">
        <v>67</v>
      </c>
    </row>
    <row r="1194" spans="1:11" ht="42" customHeight="1">
      <c r="A1194" s="2" t="s">
        <v>3129</v>
      </c>
      <c r="B1194" s="2" t="s">
        <v>3130</v>
      </c>
      <c r="C1194" s="2" t="s">
        <v>63</v>
      </c>
      <c r="D1194" s="2" t="s">
        <v>43</v>
      </c>
      <c r="E1194" s="5">
        <v>-29479</v>
      </c>
      <c r="F1194" s="3" t="s">
        <v>979</v>
      </c>
      <c r="G1194" s="3" t="s">
        <v>28</v>
      </c>
      <c r="H1194" s="2" t="s">
        <v>65</v>
      </c>
      <c r="I1194" s="2" t="s">
        <v>3142</v>
      </c>
      <c r="J1194" s="3" t="str">
        <f>HYPERLINK("https://www.boe.es/gazeta/dias/1819/04/15/pdfs/GMD-1819-45.pdf#page=8","Abrir facsímil")</f>
        <v>Abrir facsímil</v>
      </c>
      <c r="K1194" s="3" t="s">
        <v>67</v>
      </c>
    </row>
    <row r="1195" spans="1:11" ht="42" customHeight="1">
      <c r="A1195" s="2" t="s">
        <v>3129</v>
      </c>
      <c r="B1195" s="2" t="s">
        <v>3130</v>
      </c>
      <c r="C1195" s="2" t="s">
        <v>63</v>
      </c>
      <c r="D1195" s="2" t="s">
        <v>43</v>
      </c>
      <c r="E1195" s="5">
        <v>-29472</v>
      </c>
      <c r="F1195" s="3" t="s">
        <v>393</v>
      </c>
      <c r="G1195" s="3" t="s">
        <v>55</v>
      </c>
      <c r="H1195" s="2" t="s">
        <v>65</v>
      </c>
      <c r="I1195" s="2" t="s">
        <v>3143</v>
      </c>
      <c r="J1195" s="3" t="str">
        <f>HYPERLINK("https://www.boe.es/gazeta/dias/1819/04/22/pdfs/GMD-1819-48.pdf#page=7","Abrir facsímil")</f>
        <v>Abrir facsímil</v>
      </c>
      <c r="K1195" s="3" t="s">
        <v>67</v>
      </c>
    </row>
    <row r="1196" spans="1:11" ht="42" customHeight="1">
      <c r="A1196" s="2" t="s">
        <v>3129</v>
      </c>
      <c r="B1196" s="2" t="s">
        <v>3130</v>
      </c>
      <c r="C1196" s="2" t="s">
        <v>63</v>
      </c>
      <c r="D1196" s="2" t="s">
        <v>43</v>
      </c>
      <c r="E1196" s="5">
        <v>-29458</v>
      </c>
      <c r="F1196" s="3" t="s">
        <v>766</v>
      </c>
      <c r="G1196" s="3" t="s">
        <v>28</v>
      </c>
      <c r="H1196" s="2" t="s">
        <v>65</v>
      </c>
      <c r="I1196" s="2" t="s">
        <v>3144</v>
      </c>
      <c r="J1196" s="3" t="str">
        <f>HYPERLINK("https://www.boe.es/gazeta/dias/1819/05/06/pdfs/GMD-1819-54.pdf#page=8","Abrir facsímil")</f>
        <v>Abrir facsímil</v>
      </c>
      <c r="K1196" s="3" t="s">
        <v>67</v>
      </c>
    </row>
    <row r="1197" spans="1:11" ht="42" customHeight="1">
      <c r="A1197" s="2" t="s">
        <v>3129</v>
      </c>
      <c r="B1197" s="2" t="s">
        <v>3130</v>
      </c>
      <c r="C1197" s="2" t="s">
        <v>63</v>
      </c>
      <c r="D1197" s="2" t="s">
        <v>43</v>
      </c>
      <c r="E1197" s="5">
        <v>-29453</v>
      </c>
      <c r="F1197" s="3" t="s">
        <v>768</v>
      </c>
      <c r="G1197" s="3" t="s">
        <v>28</v>
      </c>
      <c r="H1197" s="2" t="s">
        <v>65</v>
      </c>
      <c r="I1197" s="2" t="s">
        <v>3145</v>
      </c>
      <c r="J1197" s="3" t="str">
        <f>HYPERLINK("https://www.boe.es/gazeta/dias/1819/05/11/pdfs/GMD-1819-56.pdf#page=8","Abrir facsímil")</f>
        <v>Abrir facsímil</v>
      </c>
      <c r="K1197" s="3" t="s">
        <v>67</v>
      </c>
    </row>
    <row r="1198" spans="1:11" ht="42" customHeight="1">
      <c r="A1198" s="2" t="s">
        <v>3129</v>
      </c>
      <c r="B1198" s="2" t="s">
        <v>3130</v>
      </c>
      <c r="C1198" s="2" t="s">
        <v>59</v>
      </c>
      <c r="D1198" s="2" t="s">
        <v>18</v>
      </c>
      <c r="E1198" s="5">
        <v>-29435</v>
      </c>
      <c r="F1198" s="3" t="s">
        <v>191</v>
      </c>
      <c r="G1198" s="3" t="s">
        <v>55</v>
      </c>
      <c r="H1198" s="2" t="s">
        <v>65</v>
      </c>
      <c r="I1198" s="2" t="s">
        <v>3146</v>
      </c>
      <c r="J1198" s="3" t="str">
        <f>HYPERLINK("https://www.boe.es/gazeta/dias/1819/05/29/pdfs/GMD-1819-64.pdf#page=7","Abrir facsímil")</f>
        <v>Abrir facsímil</v>
      </c>
      <c r="K1198" s="3" t="s">
        <v>67</v>
      </c>
    </row>
    <row r="1199" spans="1:11" ht="42" customHeight="1">
      <c r="A1199" s="2" t="s">
        <v>3129</v>
      </c>
      <c r="B1199" s="2" t="s">
        <v>3130</v>
      </c>
      <c r="C1199" s="2" t="s">
        <v>63</v>
      </c>
      <c r="D1199" s="2" t="s">
        <v>43</v>
      </c>
      <c r="E1199" s="5">
        <v>-29432</v>
      </c>
      <c r="F1199" s="3" t="s">
        <v>1967</v>
      </c>
      <c r="G1199" s="3" t="s">
        <v>55</v>
      </c>
      <c r="H1199" s="2" t="s">
        <v>65</v>
      </c>
      <c r="I1199" s="2" t="s">
        <v>3147</v>
      </c>
      <c r="J1199" s="3" t="str">
        <f>HYPERLINK("https://www.boe.es/gazeta/dias/1819/06/01/pdfs/GMD-1819-65.pdf#page=7","Abrir facsímil")</f>
        <v>Abrir facsímil</v>
      </c>
      <c r="K1199" s="3" t="s">
        <v>67</v>
      </c>
    </row>
    <row r="1200" spans="1:11" ht="42" customHeight="1">
      <c r="A1200" s="2" t="s">
        <v>3129</v>
      </c>
      <c r="B1200" s="2" t="s">
        <v>3130</v>
      </c>
      <c r="C1200" s="2" t="s">
        <v>63</v>
      </c>
      <c r="D1200" s="2" t="s">
        <v>43</v>
      </c>
      <c r="E1200" s="5">
        <v>-29430</v>
      </c>
      <c r="F1200" s="3" t="s">
        <v>178</v>
      </c>
      <c r="G1200" s="3" t="s">
        <v>28</v>
      </c>
      <c r="H1200" s="2" t="s">
        <v>65</v>
      </c>
      <c r="I1200" s="2" t="s">
        <v>3148</v>
      </c>
      <c r="J1200" s="3" t="str">
        <f>HYPERLINK("https://www.boe.es/gazeta/dias/1819/06/03/pdfs/GMD-1819-66.pdf#page=8","Abrir facsímil")</f>
        <v>Abrir facsímil</v>
      </c>
      <c r="K1200" s="3" t="s">
        <v>67</v>
      </c>
    </row>
    <row r="1201" spans="1:11" ht="42" customHeight="1">
      <c r="A1201" s="2" t="s">
        <v>3129</v>
      </c>
      <c r="B1201" s="2" t="s">
        <v>3130</v>
      </c>
      <c r="C1201" s="2" t="s">
        <v>63</v>
      </c>
      <c r="D1201" s="2" t="s">
        <v>43</v>
      </c>
      <c r="E1201" s="5">
        <v>-29425</v>
      </c>
      <c r="F1201" s="3" t="s">
        <v>110</v>
      </c>
      <c r="G1201" s="3" t="s">
        <v>28</v>
      </c>
      <c r="H1201" s="2" t="s">
        <v>65</v>
      </c>
      <c r="I1201" s="2" t="s">
        <v>3149</v>
      </c>
      <c r="J1201" s="3" t="str">
        <f>HYPERLINK("https://www.boe.es/gazeta/dias/1819/06/08/pdfs/GMD-1819-68.pdf#page=8","Abrir facsímil")</f>
        <v>Abrir facsímil</v>
      </c>
      <c r="K1201" s="3" t="s">
        <v>67</v>
      </c>
    </row>
    <row r="1202" spans="1:11" ht="42" customHeight="1">
      <c r="A1202" s="2" t="s">
        <v>3129</v>
      </c>
      <c r="B1202" s="2" t="s">
        <v>3130</v>
      </c>
      <c r="C1202" s="2" t="s">
        <v>26</v>
      </c>
      <c r="D1202" s="2" t="s">
        <v>18</v>
      </c>
      <c r="E1202" s="5">
        <v>-29416</v>
      </c>
      <c r="F1202" s="3" t="s">
        <v>251</v>
      </c>
      <c r="G1202" s="3" t="s">
        <v>28</v>
      </c>
      <c r="H1202" s="2" t="s">
        <v>65</v>
      </c>
      <c r="I1202" s="2" t="s">
        <v>3150</v>
      </c>
      <c r="J1202" s="3" t="str">
        <f>HYPERLINK("https://www.boe.es/gazeta/dias/1819/06/17/pdfs/GMD-1819-73.pdf#page=8","Abrir facsímil")</f>
        <v>Abrir facsímil</v>
      </c>
      <c r="K1202" s="3" t="s">
        <v>67</v>
      </c>
    </row>
    <row r="1203" spans="1:11" ht="42" customHeight="1">
      <c r="A1203" s="2" t="s">
        <v>3129</v>
      </c>
      <c r="B1203" s="2" t="s">
        <v>3130</v>
      </c>
      <c r="C1203" s="2" t="s">
        <v>63</v>
      </c>
      <c r="D1203" s="2" t="s">
        <v>43</v>
      </c>
      <c r="E1203" s="5">
        <v>-29414</v>
      </c>
      <c r="F1203" s="3" t="s">
        <v>732</v>
      </c>
      <c r="G1203" s="3" t="s">
        <v>28</v>
      </c>
      <c r="H1203" s="2" t="s">
        <v>65</v>
      </c>
      <c r="I1203" s="2" t="s">
        <v>3151</v>
      </c>
      <c r="J1203" s="3" t="str">
        <f>HYPERLINK("https://www.boe.es/gazeta/dias/1819/06/19/pdfs/GMD-1819-74.pdf#page=8","Abrir facsímil")</f>
        <v>Abrir facsímil</v>
      </c>
      <c r="K1203" s="3" t="s">
        <v>67</v>
      </c>
    </row>
    <row r="1204" spans="1:11" ht="42" customHeight="1">
      <c r="A1204" s="2" t="s">
        <v>3129</v>
      </c>
      <c r="B1204" s="2" t="s">
        <v>3130</v>
      </c>
      <c r="C1204" s="2" t="s">
        <v>59</v>
      </c>
      <c r="D1204" s="2" t="s">
        <v>18</v>
      </c>
      <c r="E1204" s="5">
        <v>-29411</v>
      </c>
      <c r="F1204" s="3" t="s">
        <v>317</v>
      </c>
      <c r="G1204" s="3" t="s">
        <v>695</v>
      </c>
      <c r="H1204" s="2" t="s">
        <v>65</v>
      </c>
      <c r="I1204" s="2" t="s">
        <v>3152</v>
      </c>
      <c r="J1204" s="3" t="str">
        <f>HYPERLINK("https://www.boe.es/gazeta/dias/1819/06/22/pdfs/GMD-1819-75.pdf#page=8","Abrir facsímil")</f>
        <v>Abrir facsímil</v>
      </c>
      <c r="K1204" s="3" t="s">
        <v>67</v>
      </c>
    </row>
    <row r="1205" spans="1:11" ht="42" customHeight="1">
      <c r="A1205" s="2" t="s">
        <v>3129</v>
      </c>
      <c r="B1205" s="2" t="s">
        <v>3130</v>
      </c>
      <c r="C1205" s="2" t="s">
        <v>17</v>
      </c>
      <c r="D1205" s="2" t="s">
        <v>18</v>
      </c>
      <c r="E1205" s="5">
        <v>-29404</v>
      </c>
      <c r="F1205" s="3" t="s">
        <v>1939</v>
      </c>
      <c r="G1205" s="3" t="s">
        <v>28</v>
      </c>
      <c r="H1205" s="2" t="s">
        <v>65</v>
      </c>
      <c r="I1205" s="2" t="s">
        <v>3153</v>
      </c>
      <c r="J1205" s="3" t="str">
        <f>HYPERLINK("https://www.boe.es/gazeta/dias/1819/06/29/pdfs/GMD-1819-78.pdf#page=8","Abrir facsímil")</f>
        <v>Abrir facsímil</v>
      </c>
      <c r="K1205" s="3" t="s">
        <v>67</v>
      </c>
    </row>
    <row r="1206" spans="1:11" ht="42" customHeight="1">
      <c r="A1206" s="2" t="s">
        <v>3129</v>
      </c>
      <c r="B1206" s="2" t="s">
        <v>3130</v>
      </c>
      <c r="C1206" s="2" t="s">
        <v>63</v>
      </c>
      <c r="D1206" s="2" t="s">
        <v>43</v>
      </c>
      <c r="E1206" s="5">
        <v>-29395</v>
      </c>
      <c r="F1206" s="3" t="s">
        <v>684</v>
      </c>
      <c r="G1206" s="3" t="s">
        <v>685</v>
      </c>
      <c r="H1206" s="2" t="s">
        <v>65</v>
      </c>
      <c r="I1206" s="2" t="s">
        <v>3154</v>
      </c>
      <c r="J1206" s="3" t="str">
        <f>HYPERLINK("https://www.boe.es/gazeta/dias/1819/07/08/pdfs/GMD-1819-82.pdf#page=8","Abrir facsímil")</f>
        <v>Abrir facsímil</v>
      </c>
      <c r="K1206" s="3" t="s">
        <v>67</v>
      </c>
    </row>
    <row r="1207" spans="1:11" ht="42" customHeight="1">
      <c r="A1207" s="2" t="s">
        <v>3129</v>
      </c>
      <c r="B1207" s="2" t="s">
        <v>3130</v>
      </c>
      <c r="C1207" s="2" t="s">
        <v>80</v>
      </c>
      <c r="D1207" s="2" t="s">
        <v>81</v>
      </c>
      <c r="E1207" s="5">
        <v>-29393</v>
      </c>
      <c r="F1207" s="3" t="s">
        <v>536</v>
      </c>
      <c r="G1207" s="3" t="s">
        <v>28</v>
      </c>
      <c r="H1207" s="2" t="s">
        <v>65</v>
      </c>
      <c r="I1207" s="2" t="s">
        <v>3155</v>
      </c>
      <c r="J1207" s="3" t="str">
        <f>HYPERLINK("https://www.boe.es/gazeta/dias/1819/07/10/pdfs/GMD-1819-83.pdf#page=8","Abrir facsímil")</f>
        <v>Abrir facsímil</v>
      </c>
      <c r="K1207" s="3" t="s">
        <v>67</v>
      </c>
    </row>
    <row r="1208" spans="1:11" ht="42" customHeight="1">
      <c r="A1208" s="2" t="s">
        <v>3129</v>
      </c>
      <c r="B1208" s="2" t="s">
        <v>3130</v>
      </c>
      <c r="C1208" s="2" t="s">
        <v>59</v>
      </c>
      <c r="D1208" s="2" t="s">
        <v>18</v>
      </c>
      <c r="E1208" s="5">
        <v>-29383</v>
      </c>
      <c r="F1208" s="3" t="s">
        <v>631</v>
      </c>
      <c r="G1208" s="3" t="s">
        <v>55</v>
      </c>
      <c r="H1208" s="2" t="s">
        <v>65</v>
      </c>
      <c r="I1208" s="2" t="s">
        <v>3156</v>
      </c>
      <c r="J1208" s="3" t="str">
        <f>HYPERLINK("https://www.boe.es/gazeta/dias/1819/07/20/pdfs/GMD-1819-87.pdf#page=7","Abrir facsímil")</f>
        <v>Abrir facsímil</v>
      </c>
      <c r="K1208" s="3" t="s">
        <v>67</v>
      </c>
    </row>
    <row r="1209" spans="1:11" ht="42" customHeight="1">
      <c r="A1209" s="2" t="s">
        <v>3129</v>
      </c>
      <c r="B1209" s="2" t="s">
        <v>3130</v>
      </c>
      <c r="C1209" s="2" t="s">
        <v>63</v>
      </c>
      <c r="D1209" s="2" t="s">
        <v>43</v>
      </c>
      <c r="E1209" s="5">
        <v>-29383</v>
      </c>
      <c r="F1209" s="3" t="s">
        <v>631</v>
      </c>
      <c r="G1209" s="3" t="s">
        <v>28</v>
      </c>
      <c r="H1209" s="2" t="s">
        <v>65</v>
      </c>
      <c r="I1209" s="2" t="s">
        <v>3157</v>
      </c>
      <c r="J1209" s="3" t="str">
        <f>HYPERLINK("https://www.boe.es/gazeta/dias/1819/07/20/pdfs/GMD-1819-87.pdf#page=8","Abrir facsímil")</f>
        <v>Abrir facsímil</v>
      </c>
      <c r="K1209" s="3" t="s">
        <v>67</v>
      </c>
    </row>
    <row r="1210" spans="1:11" ht="42" customHeight="1">
      <c r="A1210" s="2" t="s">
        <v>3129</v>
      </c>
      <c r="B1210" s="2" t="s">
        <v>3130</v>
      </c>
      <c r="C1210" s="2" t="s">
        <v>63</v>
      </c>
      <c r="D1210" s="2" t="s">
        <v>43</v>
      </c>
      <c r="E1210" s="5">
        <v>-29379</v>
      </c>
      <c r="F1210" s="3" t="s">
        <v>161</v>
      </c>
      <c r="G1210" s="3" t="s">
        <v>28</v>
      </c>
      <c r="H1210" s="2" t="s">
        <v>65</v>
      </c>
      <c r="I1210" s="2" t="s">
        <v>3158</v>
      </c>
      <c r="J1210" s="3" t="str">
        <f>HYPERLINK("https://www.boe.es/gazeta/dias/1819/07/24/pdfs/GMD-1819-89.pdf#page=8","Abrir facsímil")</f>
        <v>Abrir facsímil</v>
      </c>
      <c r="K1210" s="3" t="s">
        <v>67</v>
      </c>
    </row>
    <row r="1211" spans="1:11" ht="42" customHeight="1">
      <c r="A1211" s="2" t="s">
        <v>3129</v>
      </c>
      <c r="B1211" s="2" t="s">
        <v>3130</v>
      </c>
      <c r="C1211" s="2" t="s">
        <v>63</v>
      </c>
      <c r="D1211" s="2" t="s">
        <v>43</v>
      </c>
      <c r="E1211" s="5">
        <v>-29376</v>
      </c>
      <c r="F1211" s="3" t="s">
        <v>332</v>
      </c>
      <c r="G1211" s="3" t="s">
        <v>2560</v>
      </c>
      <c r="H1211" s="2" t="s">
        <v>65</v>
      </c>
      <c r="I1211" s="2" t="s">
        <v>3159</v>
      </c>
      <c r="J1211" s="3" t="str">
        <f>HYPERLINK("https://www.boe.es/gazeta/dias/1819/07/27/pdfs/GMD-1819-90.pdf#page=7","Abrir facsímil")</f>
        <v>Abrir facsímil</v>
      </c>
      <c r="K1211" s="3" t="s">
        <v>67</v>
      </c>
    </row>
    <row r="1212" spans="1:11" ht="42" customHeight="1">
      <c r="A1212" s="2" t="s">
        <v>3129</v>
      </c>
      <c r="B1212" s="2" t="s">
        <v>3130</v>
      </c>
      <c r="C1212" s="2" t="s">
        <v>63</v>
      </c>
      <c r="D1212" s="2" t="s">
        <v>43</v>
      </c>
      <c r="E1212" s="5">
        <v>-29376</v>
      </c>
      <c r="F1212" s="3" t="s">
        <v>332</v>
      </c>
      <c r="G1212" s="3" t="s">
        <v>28</v>
      </c>
      <c r="H1212" s="2" t="s">
        <v>65</v>
      </c>
      <c r="I1212" s="2" t="s">
        <v>3160</v>
      </c>
      <c r="J1212" s="3" t="str">
        <f>HYPERLINK("https://www.boe.es/gazeta/dias/1819/07/27/pdfs/GMD-1819-90.pdf#page=8","Abrir facsímil")</f>
        <v>Abrir facsímil</v>
      </c>
      <c r="K1212" s="3" t="s">
        <v>67</v>
      </c>
    </row>
    <row r="1213" spans="1:11" ht="42" customHeight="1">
      <c r="A1213" s="2" t="s">
        <v>3129</v>
      </c>
      <c r="B1213" s="2" t="s">
        <v>3130</v>
      </c>
      <c r="C1213" s="2" t="s">
        <v>63</v>
      </c>
      <c r="D1213" s="2" t="s">
        <v>43</v>
      </c>
      <c r="E1213" s="5">
        <v>-29372</v>
      </c>
      <c r="F1213" s="3" t="s">
        <v>715</v>
      </c>
      <c r="G1213" s="3" t="s">
        <v>28</v>
      </c>
      <c r="H1213" s="2" t="s">
        <v>65</v>
      </c>
      <c r="I1213" s="2" t="s">
        <v>3161</v>
      </c>
      <c r="J1213" s="3" t="str">
        <f>HYPERLINK("https://www.boe.es/gazeta/dias/1819/07/31/pdfs/GMD-1819-92.pdf#page=8","Abrir facsímil")</f>
        <v>Abrir facsímil</v>
      </c>
      <c r="K1213" s="3" t="s">
        <v>67</v>
      </c>
    </row>
    <row r="1214" spans="1:11" ht="42" customHeight="1">
      <c r="A1214" s="2" t="s">
        <v>3129</v>
      </c>
      <c r="B1214" s="2" t="s">
        <v>3130</v>
      </c>
      <c r="C1214" s="2" t="s">
        <v>63</v>
      </c>
      <c r="D1214" s="2" t="s">
        <v>43</v>
      </c>
      <c r="E1214" s="5">
        <v>-29365</v>
      </c>
      <c r="F1214" s="3" t="s">
        <v>218</v>
      </c>
      <c r="G1214" s="3" t="s">
        <v>28</v>
      </c>
      <c r="H1214" s="2" t="s">
        <v>65</v>
      </c>
      <c r="I1214" s="2" t="s">
        <v>3162</v>
      </c>
      <c r="J1214" s="3" t="str">
        <f>HYPERLINK("https://www.boe.es/gazeta/dias/1819/08/07/pdfs/GMD-1819-95.pdf#page=8","Abrir facsímil")</f>
        <v>Abrir facsímil</v>
      </c>
      <c r="K1214" s="3" t="s">
        <v>67</v>
      </c>
    </row>
    <row r="1215" spans="1:11" ht="42" customHeight="1">
      <c r="A1215" s="2" t="s">
        <v>3129</v>
      </c>
      <c r="B1215" s="2" t="s">
        <v>3130</v>
      </c>
      <c r="C1215" s="2" t="s">
        <v>63</v>
      </c>
      <c r="D1215" s="2" t="s">
        <v>43</v>
      </c>
      <c r="E1215" s="5">
        <v>-29360</v>
      </c>
      <c r="F1215" s="3" t="s">
        <v>182</v>
      </c>
      <c r="G1215" s="3" t="s">
        <v>28</v>
      </c>
      <c r="H1215" s="2" t="s">
        <v>65</v>
      </c>
      <c r="I1215" s="2" t="s">
        <v>3163</v>
      </c>
      <c r="J1215" s="3" t="str">
        <f>HYPERLINK("https://www.boe.es/gazeta/dias/1819/08/12/pdfs/GMD-1819-97.pdf#page=8","Abrir facsímil")</f>
        <v>Abrir facsímil</v>
      </c>
      <c r="K1215" s="3" t="s">
        <v>67</v>
      </c>
    </row>
    <row r="1216" spans="1:11" ht="42" customHeight="1">
      <c r="A1216" s="2" t="s">
        <v>3164</v>
      </c>
      <c r="B1216" s="2" t="s">
        <v>3165</v>
      </c>
      <c r="C1216" s="2" t="s">
        <v>63</v>
      </c>
      <c r="D1216" s="2" t="s">
        <v>43</v>
      </c>
      <c r="E1216" s="5">
        <v>-29358</v>
      </c>
      <c r="F1216" s="3" t="s">
        <v>170</v>
      </c>
      <c r="G1216" s="3" t="s">
        <v>28</v>
      </c>
      <c r="H1216" s="2" t="s">
        <v>65</v>
      </c>
      <c r="I1216" s="2" t="s">
        <v>3166</v>
      </c>
      <c r="J1216" s="3" t="str">
        <f>HYPERLINK("https://www.boe.es/gazeta/dias/1819/08/14/pdfs/GMD-1819-98.pdf#page=8","Abrir facsímil")</f>
        <v>Abrir facsímil</v>
      </c>
      <c r="K1216" s="3" t="s">
        <v>67</v>
      </c>
    </row>
    <row r="1217" spans="1:11" ht="42" customHeight="1">
      <c r="A1217" s="2" t="s">
        <v>3129</v>
      </c>
      <c r="B1217" s="2" t="s">
        <v>3130</v>
      </c>
      <c r="C1217" s="2" t="s">
        <v>63</v>
      </c>
      <c r="D1217" s="2" t="s">
        <v>43</v>
      </c>
      <c r="E1217" s="5">
        <v>-29353</v>
      </c>
      <c r="F1217" s="3" t="s">
        <v>867</v>
      </c>
      <c r="G1217" s="3" t="s">
        <v>28</v>
      </c>
      <c r="H1217" s="2" t="s">
        <v>65</v>
      </c>
      <c r="I1217" s="2" t="s">
        <v>3167</v>
      </c>
      <c r="J1217" s="3" t="str">
        <f>HYPERLINK("https://www.boe.es/gazeta/dias/1819/08/19/pdfs/GMD-1819-100.pdf#page=8","Abrir facsímil")</f>
        <v>Abrir facsímil</v>
      </c>
      <c r="K1217" s="3" t="s">
        <v>67</v>
      </c>
    </row>
    <row r="1218" spans="1:11" ht="42" customHeight="1">
      <c r="A1218" s="2" t="s">
        <v>3168</v>
      </c>
      <c r="B1218" s="2" t="s">
        <v>3169</v>
      </c>
      <c r="C1218" s="2" t="s">
        <v>26</v>
      </c>
      <c r="D1218" s="2" t="s">
        <v>18</v>
      </c>
      <c r="E1218" s="5">
        <v>-29344</v>
      </c>
      <c r="F1218" s="3" t="s">
        <v>1865</v>
      </c>
      <c r="G1218" s="3" t="s">
        <v>55</v>
      </c>
      <c r="H1218" s="2" t="s">
        <v>65</v>
      </c>
      <c r="I1218" s="2" t="s">
        <v>3170</v>
      </c>
      <c r="J1218" s="3" t="str">
        <f>HYPERLINK("https://www.boe.es/gazeta/dias/1819/08/28/pdfs/GMD-1819-104.pdf#page=7","Abrir facsímil")</f>
        <v>Abrir facsímil</v>
      </c>
      <c r="K1218" s="3" t="s">
        <v>67</v>
      </c>
    </row>
    <row r="1219" spans="1:11" ht="42" customHeight="1">
      <c r="A1219" s="2" t="s">
        <v>3129</v>
      </c>
      <c r="B1219" s="2" t="s">
        <v>3130</v>
      </c>
      <c r="C1219" s="2" t="s">
        <v>215</v>
      </c>
      <c r="D1219" s="2" t="s">
        <v>18</v>
      </c>
      <c r="E1219" s="5">
        <v>-29334</v>
      </c>
      <c r="F1219" s="3" t="s">
        <v>3082</v>
      </c>
      <c r="G1219" s="3" t="s">
        <v>28</v>
      </c>
      <c r="H1219" s="2" t="s">
        <v>65</v>
      </c>
      <c r="I1219" s="2" t="s">
        <v>3171</v>
      </c>
      <c r="J1219" s="3" t="str">
        <f>HYPERLINK("https://www.boe.es/gazeta/dias/1819/09/07/pdfs/GMD-1819-109.pdf#page=8","Abrir facsímil")</f>
        <v>Abrir facsímil</v>
      </c>
      <c r="K1219" s="3" t="s">
        <v>67</v>
      </c>
    </row>
    <row r="1220" spans="1:11" ht="42" customHeight="1">
      <c r="A1220" s="2" t="s">
        <v>3129</v>
      </c>
      <c r="B1220" s="2" t="s">
        <v>3130</v>
      </c>
      <c r="C1220" s="2" t="s">
        <v>63</v>
      </c>
      <c r="D1220" s="2" t="s">
        <v>43</v>
      </c>
      <c r="E1220" s="5">
        <v>-29325</v>
      </c>
      <c r="F1220" s="3" t="s">
        <v>174</v>
      </c>
      <c r="G1220" s="3" t="s">
        <v>2818</v>
      </c>
      <c r="H1220" s="2" t="s">
        <v>65</v>
      </c>
      <c r="I1220" s="2" t="s">
        <v>3172</v>
      </c>
      <c r="J1220" s="3" t="str">
        <f>HYPERLINK("https://www.boe.es/gazeta/dias/1819/09/16/pdfs/GMD-1819-113.pdf#page=8","Abrir facsímil")</f>
        <v>Abrir facsímil</v>
      </c>
      <c r="K1220" s="3" t="s">
        <v>67</v>
      </c>
    </row>
    <row r="1221" spans="1:11" ht="42" customHeight="1">
      <c r="A1221" s="2" t="s">
        <v>3129</v>
      </c>
      <c r="B1221" s="2" t="s">
        <v>3130</v>
      </c>
      <c r="C1221" s="2" t="s">
        <v>63</v>
      </c>
      <c r="D1221" s="2" t="s">
        <v>43</v>
      </c>
      <c r="E1221" s="5">
        <v>-29309</v>
      </c>
      <c r="F1221" s="3" t="s">
        <v>476</v>
      </c>
      <c r="G1221" s="3" t="s">
        <v>692</v>
      </c>
      <c r="H1221" s="2" t="s">
        <v>65</v>
      </c>
      <c r="I1221" s="2" t="s">
        <v>3173</v>
      </c>
      <c r="J1221" s="3" t="str">
        <f>HYPERLINK("https://www.boe.es/gazeta/dias/1819/10/02/pdfs/GMD-1819-121.pdf#page=8","Abrir facsímil")</f>
        <v>Abrir facsímil</v>
      </c>
      <c r="K1221" s="3" t="s">
        <v>67</v>
      </c>
    </row>
    <row r="1222" spans="1:11" ht="42" customHeight="1">
      <c r="A1222" s="2" t="s">
        <v>3129</v>
      </c>
      <c r="B1222" s="2" t="s">
        <v>3130</v>
      </c>
      <c r="C1222" s="2" t="s">
        <v>63</v>
      </c>
      <c r="D1222" s="2" t="s">
        <v>43</v>
      </c>
      <c r="E1222" s="5">
        <v>-29306</v>
      </c>
      <c r="F1222" s="3" t="s">
        <v>303</v>
      </c>
      <c r="G1222" s="3" t="s">
        <v>55</v>
      </c>
      <c r="H1222" s="2" t="s">
        <v>65</v>
      </c>
      <c r="I1222" s="2" t="s">
        <v>3174</v>
      </c>
      <c r="J1222" s="3" t="str">
        <f>HYPERLINK("https://www.boe.es/gazeta/dias/1819/10/05/pdfs/GMD-1819-122.pdf#page=7","Abrir facsímil")</f>
        <v>Abrir facsímil</v>
      </c>
      <c r="K1222" s="3" t="s">
        <v>67</v>
      </c>
    </row>
    <row r="1223" spans="1:11" ht="42" customHeight="1">
      <c r="A1223" s="2" t="s">
        <v>3129</v>
      </c>
      <c r="B1223" s="2" t="s">
        <v>3130</v>
      </c>
      <c r="C1223" s="2" t="s">
        <v>63</v>
      </c>
      <c r="D1223" s="2" t="s">
        <v>43</v>
      </c>
      <c r="E1223" s="5">
        <v>-29304</v>
      </c>
      <c r="F1223" s="3" t="s">
        <v>519</v>
      </c>
      <c r="G1223" s="3" t="s">
        <v>28</v>
      </c>
      <c r="H1223" s="2" t="s">
        <v>65</v>
      </c>
      <c r="I1223" s="2" t="s">
        <v>3175</v>
      </c>
      <c r="J1223" s="3" t="str">
        <f>HYPERLINK("https://www.boe.es/gazeta/dias/1819/10/07/pdfs/GMD-1819-123.pdf#page=8","Abrir facsímil")</f>
        <v>Abrir facsímil</v>
      </c>
      <c r="K1223" s="3" t="s">
        <v>67</v>
      </c>
    </row>
    <row r="1224" spans="1:11" ht="42" customHeight="1">
      <c r="A1224" s="2" t="s">
        <v>3129</v>
      </c>
      <c r="B1224" s="2" t="s">
        <v>3130</v>
      </c>
      <c r="C1224" s="2" t="s">
        <v>63</v>
      </c>
      <c r="D1224" s="2" t="s">
        <v>43</v>
      </c>
      <c r="E1224" s="5">
        <v>-29288</v>
      </c>
      <c r="F1224" s="3" t="s">
        <v>334</v>
      </c>
      <c r="G1224" s="3" t="s">
        <v>28</v>
      </c>
      <c r="H1224" s="2" t="s">
        <v>65</v>
      </c>
      <c r="I1224" s="2" t="s">
        <v>3176</v>
      </c>
      <c r="J1224" s="3" t="str">
        <f>HYPERLINK("https://www.boe.es/gazeta/dias/1819/10/23/pdfs/GMD-1819-130.pdf#page=8","Abrir facsímil")</f>
        <v>Abrir facsímil</v>
      </c>
      <c r="K1224" s="3" t="s">
        <v>67</v>
      </c>
    </row>
    <row r="1225" spans="1:11" ht="42" customHeight="1">
      <c r="A1225" s="2" t="s">
        <v>3129</v>
      </c>
      <c r="B1225" s="2" t="s">
        <v>3130</v>
      </c>
      <c r="C1225" s="2" t="s">
        <v>63</v>
      </c>
      <c r="D1225" s="2" t="s">
        <v>43</v>
      </c>
      <c r="E1225" s="5">
        <v>-29276</v>
      </c>
      <c r="F1225" s="3" t="s">
        <v>54</v>
      </c>
      <c r="G1225" s="3" t="s">
        <v>28</v>
      </c>
      <c r="H1225" s="2" t="s">
        <v>65</v>
      </c>
      <c r="I1225" s="2" t="s">
        <v>3177</v>
      </c>
      <c r="J1225" s="3" t="str">
        <f>HYPERLINK("https://www.boe.es/gazeta/dias/1819/11/04/pdfs/GMD-1819-136.pdf#page=8","Abrir facsímil")</f>
        <v>Abrir facsímil</v>
      </c>
      <c r="K1225" s="3" t="s">
        <v>67</v>
      </c>
    </row>
    <row r="1226" spans="1:11" ht="42" customHeight="1">
      <c r="A1226" s="2" t="s">
        <v>3129</v>
      </c>
      <c r="B1226" s="2" t="s">
        <v>3130</v>
      </c>
      <c r="C1226" s="2" t="s">
        <v>63</v>
      </c>
      <c r="D1226" s="2" t="s">
        <v>43</v>
      </c>
      <c r="E1226" s="5">
        <v>-29255</v>
      </c>
      <c r="F1226" s="3" t="s">
        <v>357</v>
      </c>
      <c r="G1226" s="3" t="s">
        <v>28</v>
      </c>
      <c r="H1226" s="2" t="s">
        <v>65</v>
      </c>
      <c r="I1226" s="2" t="s">
        <v>3178</v>
      </c>
      <c r="J1226" s="3" t="str">
        <f>HYPERLINK("https://www.boe.es/gazeta/dias/1819/11/25/pdfs/GMD-1819-145.pdf#page=8","Abrir facsímil")</f>
        <v>Abrir facsímil</v>
      </c>
      <c r="K1226" s="3" t="s">
        <v>67</v>
      </c>
    </row>
    <row r="1227" spans="1:11" ht="42" customHeight="1">
      <c r="A1227" s="2" t="s">
        <v>3179</v>
      </c>
      <c r="B1227" s="2" t="s">
        <v>3180</v>
      </c>
      <c r="C1227" s="2" t="s">
        <v>63</v>
      </c>
      <c r="D1227" s="2" t="s">
        <v>43</v>
      </c>
      <c r="E1227" s="5">
        <v>-29250</v>
      </c>
      <c r="F1227" s="3" t="s">
        <v>312</v>
      </c>
      <c r="G1227" s="3" t="s">
        <v>313</v>
      </c>
      <c r="H1227" s="2" t="s">
        <v>65</v>
      </c>
      <c r="I1227" s="2" t="s">
        <v>3181</v>
      </c>
      <c r="J1227" s="3" t="str">
        <f>HYPERLINK("https://www.boe.es/gazeta/dias/1819/11/30/pdfs/GMD-1819-147.pdf#page=8","Abrir facsímil")</f>
        <v>Abrir facsímil</v>
      </c>
      <c r="K1227" s="3" t="s">
        <v>67</v>
      </c>
    </row>
    <row r="1228" spans="1:11" ht="42" customHeight="1">
      <c r="A1228" s="2" t="s">
        <v>3129</v>
      </c>
      <c r="B1228" s="2" t="s">
        <v>3130</v>
      </c>
      <c r="C1228" s="2" t="s">
        <v>63</v>
      </c>
      <c r="D1228" s="2" t="s">
        <v>43</v>
      </c>
      <c r="E1228" s="5">
        <v>-29236</v>
      </c>
      <c r="F1228" s="3" t="s">
        <v>379</v>
      </c>
      <c r="G1228" s="3" t="s">
        <v>55</v>
      </c>
      <c r="H1228" s="2" t="s">
        <v>65</v>
      </c>
      <c r="I1228" s="2" t="s">
        <v>3182</v>
      </c>
      <c r="J1228" s="3" t="str">
        <f>HYPERLINK("https://www.boe.es/gazeta/dias/1819/12/14/pdfs/GMD-1819-153.pdf#page=7","Abrir facsímil")</f>
        <v>Abrir facsímil</v>
      </c>
      <c r="K1228" s="3" t="s">
        <v>67</v>
      </c>
    </row>
    <row r="1229" spans="1:11" ht="42" customHeight="1">
      <c r="A1229" s="2" t="s">
        <v>3129</v>
      </c>
      <c r="B1229" s="2" t="s">
        <v>3130</v>
      </c>
      <c r="C1229" s="2" t="s">
        <v>63</v>
      </c>
      <c r="D1229" s="2" t="s">
        <v>43</v>
      </c>
      <c r="E1229" s="5">
        <v>-29222</v>
      </c>
      <c r="F1229" s="3" t="s">
        <v>338</v>
      </c>
      <c r="G1229" s="3" t="s">
        <v>339</v>
      </c>
      <c r="H1229" s="2" t="s">
        <v>65</v>
      </c>
      <c r="I1229" s="2" t="s">
        <v>3183</v>
      </c>
      <c r="J1229" s="3" t="str">
        <f>HYPERLINK("https://www.boe.es/gazeta/dias/1819/12/28/pdfs/GMD-1819-159.pdf#page=8","Abrir facsímil")</f>
        <v>Abrir facsímil</v>
      </c>
      <c r="K1229" s="3" t="s">
        <v>67</v>
      </c>
    </row>
    <row r="1230" spans="1:11" ht="42" customHeight="1">
      <c r="A1230" s="2" t="s">
        <v>3168</v>
      </c>
      <c r="B1230" s="2" t="s">
        <v>3169</v>
      </c>
      <c r="C1230" s="2" t="s">
        <v>80</v>
      </c>
      <c r="D1230" s="2" t="s">
        <v>81</v>
      </c>
      <c r="E1230" s="5">
        <v>-29220</v>
      </c>
      <c r="F1230" s="3" t="s">
        <v>397</v>
      </c>
      <c r="G1230" s="3" t="s">
        <v>55</v>
      </c>
      <c r="H1230" s="2" t="s">
        <v>65</v>
      </c>
      <c r="I1230" s="2" t="s">
        <v>3184</v>
      </c>
      <c r="J1230" s="3" t="str">
        <f>HYPERLINK("https://www.boe.es/gazeta/dias/1819/12/30/pdfs/GMD-1819-160.pdf#page=7","Abrir facsímil")</f>
        <v>Abrir facsímil</v>
      </c>
      <c r="K1230" s="3" t="s">
        <v>67</v>
      </c>
    </row>
    <row r="1231" spans="1:11" ht="42" customHeight="1">
      <c r="A1231" s="2" t="s">
        <v>3129</v>
      </c>
      <c r="B1231" s="2" t="s">
        <v>3130</v>
      </c>
      <c r="C1231" s="2" t="s">
        <v>215</v>
      </c>
      <c r="D1231" s="2" t="s">
        <v>18</v>
      </c>
      <c r="E1231" s="5">
        <v>-29220</v>
      </c>
      <c r="F1231" s="3" t="s">
        <v>397</v>
      </c>
      <c r="G1231" s="3" t="s">
        <v>28</v>
      </c>
      <c r="H1231" s="2" t="s">
        <v>65</v>
      </c>
      <c r="I1231" s="2" t="s">
        <v>3185</v>
      </c>
      <c r="J1231" s="3" t="str">
        <f>HYPERLINK("https://www.boe.es/gazeta/dias/1819/12/30/pdfs/GMD-1819-160.pdf#page=8","Abrir facsímil")</f>
        <v>Abrir facsímil</v>
      </c>
      <c r="K1231" s="3" t="s">
        <v>67</v>
      </c>
    </row>
    <row r="1232" spans="1:11" ht="42" customHeight="1">
      <c r="A1232" s="2" t="s">
        <v>3186</v>
      </c>
      <c r="B1232" s="2" t="s">
        <v>3187</v>
      </c>
      <c r="C1232" s="2" t="s">
        <v>63</v>
      </c>
      <c r="D1232" s="2" t="s">
        <v>43</v>
      </c>
      <c r="E1232" s="5">
        <v>-29332</v>
      </c>
      <c r="F1232" s="3" t="s">
        <v>499</v>
      </c>
      <c r="G1232" s="3" t="s">
        <v>28</v>
      </c>
      <c r="H1232" s="2" t="s">
        <v>21</v>
      </c>
      <c r="I1232" s="2" t="s">
        <v>3188</v>
      </c>
      <c r="J1232" s="3" t="str">
        <f>HYPERLINK("https://www.boe.es/gazeta/dias/1819/09/09/pdfs/GMD-1819-110.pdf#page=8","Abrir facsímil")</f>
        <v>Abrir facsímil</v>
      </c>
      <c r="K1232" s="3" t="s">
        <v>23</v>
      </c>
    </row>
    <row r="1233" spans="1:11" ht="42" customHeight="1">
      <c r="A1233" s="2" t="s">
        <v>3186</v>
      </c>
      <c r="B1233" s="2" t="s">
        <v>3187</v>
      </c>
      <c r="C1233" s="2" t="s">
        <v>63</v>
      </c>
      <c r="D1233" s="2" t="s">
        <v>43</v>
      </c>
      <c r="E1233" s="5">
        <v>-29297</v>
      </c>
      <c r="F1233" s="3" t="s">
        <v>82</v>
      </c>
      <c r="G1233" s="3" t="s">
        <v>28</v>
      </c>
      <c r="H1233" s="2" t="s">
        <v>21</v>
      </c>
      <c r="I1233" s="2" t="s">
        <v>3189</v>
      </c>
      <c r="J1233" s="3" t="str">
        <f>HYPERLINK("https://www.boe.es/gazeta/dias/1819/10/14/pdfs/GMD-1819-126.pdf#page=8","Abrir facsímil")</f>
        <v>Abrir facsímil</v>
      </c>
      <c r="K1233" s="3" t="s">
        <v>23</v>
      </c>
    </row>
    <row r="1234" spans="1:11" ht="42" customHeight="1">
      <c r="A1234" s="2" t="s">
        <v>3186</v>
      </c>
      <c r="B1234" s="2" t="s">
        <v>3187</v>
      </c>
      <c r="C1234" s="2" t="s">
        <v>63</v>
      </c>
      <c r="D1234" s="2" t="s">
        <v>43</v>
      </c>
      <c r="E1234" s="5">
        <v>-29260</v>
      </c>
      <c r="F1234" s="3" t="s">
        <v>93</v>
      </c>
      <c r="G1234" s="3" t="s">
        <v>138</v>
      </c>
      <c r="H1234" s="2" t="s">
        <v>21</v>
      </c>
      <c r="I1234" s="2" t="s">
        <v>3190</v>
      </c>
      <c r="J1234" s="3" t="str">
        <f>HYPERLINK("https://www.boe.es/gazeta/dias/1819/11/20/pdfs/GMD-1819-143.pdf#page=12","Abrir facsímil")</f>
        <v>Abrir facsímil</v>
      </c>
      <c r="K1234" s="3" t="s">
        <v>23</v>
      </c>
    </row>
    <row r="1235" spans="1:11" ht="42" customHeight="1">
      <c r="A1235" s="2" t="s">
        <v>3191</v>
      </c>
      <c r="B1235" s="2" t="s">
        <v>3192</v>
      </c>
      <c r="C1235" s="2" t="s">
        <v>80</v>
      </c>
      <c r="D1235" s="2" t="s">
        <v>81</v>
      </c>
      <c r="E1235" s="5">
        <v>-29491</v>
      </c>
      <c r="F1235" s="3" t="s">
        <v>1604</v>
      </c>
      <c r="G1235" s="3" t="s">
        <v>38</v>
      </c>
      <c r="H1235" s="2" t="s">
        <v>65</v>
      </c>
      <c r="I1235" s="2" t="s">
        <v>3193</v>
      </c>
      <c r="J1235" s="3" t="str">
        <f>HYPERLINK("https://www.boe.es/gazeta/dias/1819/04/03/pdfs/GMD-1819-40.pdf#page=5","Abrir facsímil")</f>
        <v>Abrir facsímil</v>
      </c>
      <c r="K1235" s="3" t="s">
        <v>67</v>
      </c>
    </row>
    <row r="1236" spans="1:11" ht="42" customHeight="1">
      <c r="A1236" s="2" t="s">
        <v>3194</v>
      </c>
      <c r="B1236" s="2" t="s">
        <v>3195</v>
      </c>
      <c r="C1236" s="2" t="s">
        <v>80</v>
      </c>
      <c r="D1236" s="2" t="s">
        <v>81</v>
      </c>
      <c r="E1236" s="5">
        <v>-29556</v>
      </c>
      <c r="F1236" s="3" t="s">
        <v>255</v>
      </c>
      <c r="G1236" s="3" t="s">
        <v>55</v>
      </c>
      <c r="H1236" s="2" t="s">
        <v>65</v>
      </c>
      <c r="I1236" s="2" t="s">
        <v>3196</v>
      </c>
      <c r="J1236" s="3" t="str">
        <f>HYPERLINK("https://www.boe.es/gazeta/dias/1819/01/28/pdfs/GMD-1819-12.pdf#page=7","Abrir facsímil")</f>
        <v>Abrir facsímil</v>
      </c>
      <c r="K1236" s="3" t="s">
        <v>67</v>
      </c>
    </row>
    <row r="1237" spans="1:11" ht="42" customHeight="1">
      <c r="A1237" s="2" t="s">
        <v>3197</v>
      </c>
      <c r="B1237" s="2" t="s">
        <v>3198</v>
      </c>
      <c r="C1237" s="2" t="s">
        <v>26</v>
      </c>
      <c r="D1237" s="2" t="s">
        <v>18</v>
      </c>
      <c r="E1237" s="5">
        <v>-29262</v>
      </c>
      <c r="F1237" s="3" t="s">
        <v>1428</v>
      </c>
      <c r="G1237" s="3" t="s">
        <v>28</v>
      </c>
      <c r="H1237" s="2" t="s">
        <v>65</v>
      </c>
      <c r="I1237" s="2" t="s">
        <v>3199</v>
      </c>
      <c r="J1237" s="3" t="str">
        <f>HYPERLINK("https://www.boe.es/gazeta/dias/1819/11/18/pdfs/GMD-1819-142.pdf#page=8","Abrir facsímil")</f>
        <v>Abrir facsímil</v>
      </c>
      <c r="K1237" s="3" t="s">
        <v>67</v>
      </c>
    </row>
    <row r="1238" spans="1:11" ht="42" customHeight="1">
      <c r="A1238" s="2" t="s">
        <v>3200</v>
      </c>
      <c r="B1238" s="2" t="s">
        <v>3201</v>
      </c>
      <c r="C1238" s="2" t="s">
        <v>80</v>
      </c>
      <c r="D1238" s="2" t="s">
        <v>81</v>
      </c>
      <c r="E1238" s="5">
        <v>-29243</v>
      </c>
      <c r="F1238" s="3" t="s">
        <v>2099</v>
      </c>
      <c r="G1238" s="3" t="s">
        <v>2100</v>
      </c>
      <c r="H1238" s="2" t="s">
        <v>65</v>
      </c>
      <c r="I1238" s="2" t="s">
        <v>3202</v>
      </c>
      <c r="J1238" s="3" t="str">
        <f>HYPERLINK("https://www.boe.es/gazeta/dias/1819/12/07/pdfs/GMD-1819-150.pdf#page=6","Abrir facsímil")</f>
        <v>Abrir facsímil</v>
      </c>
      <c r="K1238" s="3" t="s">
        <v>67</v>
      </c>
    </row>
    <row r="1239" spans="1:11" ht="42" customHeight="1">
      <c r="A1239" s="2" t="s">
        <v>3203</v>
      </c>
      <c r="B1239" s="2" t="s">
        <v>3204</v>
      </c>
      <c r="C1239" s="2" t="s">
        <v>63</v>
      </c>
      <c r="D1239" s="2" t="s">
        <v>43</v>
      </c>
      <c r="E1239" s="5">
        <v>-29351</v>
      </c>
      <c r="F1239" s="3" t="s">
        <v>101</v>
      </c>
      <c r="G1239" s="3" t="s">
        <v>28</v>
      </c>
      <c r="H1239" s="2" t="s">
        <v>65</v>
      </c>
      <c r="I1239" s="2" t="s">
        <v>3205</v>
      </c>
      <c r="J1239" s="3" t="str">
        <f>HYPERLINK("https://www.boe.es/gazeta/dias/1819/08/21/pdfs/GMD-1819-101.pdf#page=8","Abrir facsímil")</f>
        <v>Abrir facsímil</v>
      </c>
      <c r="K1239" s="3" t="s">
        <v>67</v>
      </c>
    </row>
    <row r="1240" spans="1:11" ht="42" customHeight="1">
      <c r="A1240" s="2" t="s">
        <v>3206</v>
      </c>
      <c r="B1240" s="2" t="s">
        <v>3207</v>
      </c>
      <c r="C1240" s="2" t="s">
        <v>136</v>
      </c>
      <c r="D1240" s="2" t="s">
        <v>18</v>
      </c>
      <c r="E1240" s="5">
        <v>-29290</v>
      </c>
      <c r="F1240" s="3" t="s">
        <v>622</v>
      </c>
      <c r="G1240" s="3" t="s">
        <v>55</v>
      </c>
      <c r="H1240" s="2" t="s">
        <v>65</v>
      </c>
      <c r="I1240" s="2" t="s">
        <v>3208</v>
      </c>
      <c r="J1240" s="3" t="str">
        <f>HYPERLINK("https://www.boe.es/gazeta/dias/1819/10/21/pdfs/GMD-1819-129.pdf#page=7","Abrir facsímil")</f>
        <v>Abrir facsímil</v>
      </c>
      <c r="K1240" s="3" t="s">
        <v>67</v>
      </c>
    </row>
    <row r="1241" spans="1:11" ht="42" customHeight="1">
      <c r="A1241" s="2" t="s">
        <v>3209</v>
      </c>
      <c r="B1241" s="2" t="s">
        <v>3210</v>
      </c>
      <c r="C1241" s="2" t="s">
        <v>26</v>
      </c>
      <c r="D1241" s="2" t="s">
        <v>18</v>
      </c>
      <c r="E1241" s="5">
        <v>-29500</v>
      </c>
      <c r="F1241" s="3" t="s">
        <v>212</v>
      </c>
      <c r="G1241" s="3" t="s">
        <v>33</v>
      </c>
      <c r="H1241" s="2" t="s">
        <v>65</v>
      </c>
      <c r="I1241" s="2" t="s">
        <v>3211</v>
      </c>
      <c r="J1241" s="3" t="str">
        <f>HYPERLINK("https://www.boe.es/gazeta/dias/1819/03/25/pdfs/GMD-1819-36.pdf#page=6","Abrir facsímil")</f>
        <v>Abrir facsímil</v>
      </c>
      <c r="K1241" s="3" t="s">
        <v>67</v>
      </c>
    </row>
    <row r="1242" spans="1:11" ht="42" customHeight="1">
      <c r="A1242" s="2" t="s">
        <v>3212</v>
      </c>
      <c r="B1242" s="2" t="s">
        <v>3213</v>
      </c>
      <c r="C1242" s="2" t="s">
        <v>80</v>
      </c>
      <c r="D1242" s="2" t="s">
        <v>454</v>
      </c>
      <c r="E1242" s="5">
        <v>-29287</v>
      </c>
      <c r="F1242" s="3" t="s">
        <v>455</v>
      </c>
      <c r="G1242" s="3" t="s">
        <v>456</v>
      </c>
      <c r="H1242" s="2" t="s">
        <v>65</v>
      </c>
      <c r="I1242" s="2" t="s">
        <v>3214</v>
      </c>
      <c r="J1242" s="3" t="str">
        <f>HYPERLINK("https://www.boe.es/gazeta/dias/1819/10/24/pdfs/GMD-1819-131E.pdf#page=9","Abrir facsímil")</f>
        <v>Abrir facsímil</v>
      </c>
      <c r="K1242" s="3" t="s">
        <v>67</v>
      </c>
    </row>
    <row r="1243" spans="1:11" ht="42" customHeight="1">
      <c r="A1243" s="2" t="s">
        <v>3215</v>
      </c>
      <c r="B1243" s="2" t="s">
        <v>3216</v>
      </c>
      <c r="C1243" s="2" t="s">
        <v>59</v>
      </c>
      <c r="D1243" s="2" t="s">
        <v>18</v>
      </c>
      <c r="E1243" s="5">
        <v>-29316</v>
      </c>
      <c r="F1243" s="3" t="s">
        <v>166</v>
      </c>
      <c r="G1243" s="3" t="s">
        <v>38</v>
      </c>
      <c r="H1243" s="2" t="s">
        <v>65</v>
      </c>
      <c r="I1243" s="2" t="s">
        <v>3217</v>
      </c>
      <c r="J1243" s="3" t="str">
        <f>HYPERLINK("https://www.boe.es/gazeta/dias/1819/09/25/pdfs/GMD-1819-118.pdf#page=5","Abrir facsímil")</f>
        <v>Abrir facsímil</v>
      </c>
      <c r="K1243" s="3" t="s">
        <v>67</v>
      </c>
    </row>
    <row r="1244" spans="1:11" ht="42" customHeight="1">
      <c r="A1244" s="2" t="s">
        <v>3218</v>
      </c>
      <c r="B1244" s="2" t="s">
        <v>3219</v>
      </c>
      <c r="C1244" s="2" t="s">
        <v>59</v>
      </c>
      <c r="D1244" s="2" t="s">
        <v>18</v>
      </c>
      <c r="E1244" s="5">
        <v>-29248</v>
      </c>
      <c r="F1244" s="3" t="s">
        <v>395</v>
      </c>
      <c r="G1244" s="3" t="s">
        <v>94</v>
      </c>
      <c r="H1244" s="2" t="s">
        <v>65</v>
      </c>
      <c r="I1244" s="2" t="s">
        <v>3220</v>
      </c>
      <c r="J1244" s="3" t="str">
        <f>HYPERLINK("https://www.boe.es/gazeta/dias/1819/12/02/pdfs/GMD-1819-148.pdf#page=11","Abrir facsímil")</f>
        <v>Abrir facsímil</v>
      </c>
      <c r="K1244" s="3" t="s">
        <v>67</v>
      </c>
    </row>
    <row r="1245" spans="1:11" ht="42" customHeight="1">
      <c r="A1245" s="2" t="s">
        <v>3221</v>
      </c>
      <c r="B1245" s="2" t="s">
        <v>3222</v>
      </c>
      <c r="C1245" s="2" t="s">
        <v>17</v>
      </c>
      <c r="D1245" s="2" t="s">
        <v>18</v>
      </c>
      <c r="E1245" s="5">
        <v>-29281</v>
      </c>
      <c r="F1245" s="3" t="s">
        <v>19</v>
      </c>
      <c r="G1245" s="3" t="s">
        <v>20</v>
      </c>
      <c r="H1245" s="2" t="s">
        <v>65</v>
      </c>
      <c r="I1245" s="2" t="s">
        <v>3223</v>
      </c>
      <c r="J1245" s="3" t="str">
        <f>HYPERLINK("https://www.boe.es/gazeta/dias/1819/10/30/pdfs/GMD-1819-134.pdf#page=10","Abrir facsímil")</f>
        <v>Abrir facsímil</v>
      </c>
      <c r="K1245" s="3" t="s">
        <v>67</v>
      </c>
    </row>
    <row r="1246" spans="1:11" ht="42" customHeight="1">
      <c r="A1246" s="2" t="s">
        <v>3224</v>
      </c>
      <c r="B1246" s="2" t="s">
        <v>3224</v>
      </c>
      <c r="C1246" s="2" t="s">
        <v>80</v>
      </c>
      <c r="D1246" s="2" t="s">
        <v>81</v>
      </c>
      <c r="E1246" s="5">
        <v>-29551</v>
      </c>
      <c r="F1246" s="3" t="s">
        <v>2173</v>
      </c>
      <c r="G1246" s="3" t="s">
        <v>296</v>
      </c>
      <c r="H1246" s="2" t="s">
        <v>65</v>
      </c>
      <c r="I1246" s="2" t="s">
        <v>3225</v>
      </c>
      <c r="J1246" s="3" t="str">
        <f>HYPERLINK("https://www.boe.es/gazeta/dias/1819/02/02/pdfs/GMD-1819-14.pdf#page=4","Abrir facsímil")</f>
        <v>Abrir facsímil</v>
      </c>
      <c r="K1246" s="3" t="s">
        <v>67</v>
      </c>
    </row>
    <row r="1247" spans="1:11" ht="42" customHeight="1">
      <c r="A1247" s="2" t="s">
        <v>3224</v>
      </c>
      <c r="B1247" s="2" t="s">
        <v>3224</v>
      </c>
      <c r="C1247" s="2" t="s">
        <v>246</v>
      </c>
      <c r="D1247" s="2" t="s">
        <v>18</v>
      </c>
      <c r="E1247" s="5">
        <v>-29542</v>
      </c>
      <c r="F1247" s="3" t="s">
        <v>607</v>
      </c>
      <c r="G1247" s="3" t="s">
        <v>38</v>
      </c>
      <c r="H1247" s="2" t="s">
        <v>65</v>
      </c>
      <c r="I1247" s="2" t="s">
        <v>3226</v>
      </c>
      <c r="J1247" s="3" t="str">
        <f>HYPERLINK("https://www.boe.es/gazeta/dias/1819/02/11/pdfs/GMD-1819-18.pdf#page=5","Abrir facsímil")</f>
        <v>Abrir facsímil</v>
      </c>
      <c r="K1247" s="3" t="s">
        <v>67</v>
      </c>
    </row>
    <row r="1248" spans="1:11" ht="42" customHeight="1">
      <c r="A1248" s="2" t="s">
        <v>3224</v>
      </c>
      <c r="B1248" s="2" t="s">
        <v>3224</v>
      </c>
      <c r="C1248" s="2" t="s">
        <v>63</v>
      </c>
      <c r="D1248" s="2" t="s">
        <v>43</v>
      </c>
      <c r="E1248" s="5">
        <v>-29535</v>
      </c>
      <c r="F1248" s="3" t="s">
        <v>200</v>
      </c>
      <c r="G1248" s="3" t="s">
        <v>55</v>
      </c>
      <c r="H1248" s="2" t="s">
        <v>65</v>
      </c>
      <c r="I1248" s="2" t="s">
        <v>3227</v>
      </c>
      <c r="J1248" s="3" t="str">
        <f>HYPERLINK("https://www.boe.es/gazeta/dias/1819/02/18/pdfs/GMD-1819-21.pdf#page=7","Abrir facsímil")</f>
        <v>Abrir facsímil</v>
      </c>
      <c r="K1248" s="3" t="s">
        <v>67</v>
      </c>
    </row>
    <row r="1249" spans="1:11" ht="42" customHeight="1">
      <c r="A1249" s="2" t="s">
        <v>3224</v>
      </c>
      <c r="B1249" s="2" t="s">
        <v>3224</v>
      </c>
      <c r="C1249" s="2" t="s">
        <v>136</v>
      </c>
      <c r="D1249" s="2" t="s">
        <v>18</v>
      </c>
      <c r="E1249" s="5">
        <v>-29528</v>
      </c>
      <c r="F1249" s="3" t="s">
        <v>708</v>
      </c>
      <c r="G1249" s="3" t="s">
        <v>3228</v>
      </c>
      <c r="H1249" s="2" t="s">
        <v>65</v>
      </c>
      <c r="I1249" s="2" t="s">
        <v>3229</v>
      </c>
      <c r="J1249" s="3" t="str">
        <f>HYPERLINK("https://www.boe.es/gazeta/dias/1819/02/25/pdfs/GMD-1819-24.pdf#page=6","Abrir facsímil")</f>
        <v>Abrir facsímil</v>
      </c>
      <c r="K1249" s="3" t="s">
        <v>67</v>
      </c>
    </row>
    <row r="1250" spans="1:11" ht="42" customHeight="1">
      <c r="A1250" s="2" t="s">
        <v>3224</v>
      </c>
      <c r="B1250" s="2" t="s">
        <v>3224</v>
      </c>
      <c r="C1250" s="2" t="s">
        <v>136</v>
      </c>
      <c r="D1250" s="2" t="s">
        <v>18</v>
      </c>
      <c r="E1250" s="5">
        <v>-29505</v>
      </c>
      <c r="F1250" s="3" t="s">
        <v>597</v>
      </c>
      <c r="G1250" s="3" t="s">
        <v>38</v>
      </c>
      <c r="H1250" s="2" t="s">
        <v>65</v>
      </c>
      <c r="I1250" s="2" t="s">
        <v>3230</v>
      </c>
      <c r="J1250" s="3" t="str">
        <f>HYPERLINK("https://www.boe.es/gazeta/dias/1819/03/20/pdfs/GMD-1819-34.pdf#page=5","Abrir facsímil")</f>
        <v>Abrir facsímil</v>
      </c>
      <c r="K1250" s="3" t="s">
        <v>67</v>
      </c>
    </row>
    <row r="1251" spans="1:11" ht="42" customHeight="1">
      <c r="A1251" s="2" t="s">
        <v>3224</v>
      </c>
      <c r="B1251" s="2" t="s">
        <v>3224</v>
      </c>
      <c r="C1251" s="2" t="s">
        <v>63</v>
      </c>
      <c r="D1251" s="2" t="s">
        <v>43</v>
      </c>
      <c r="E1251" s="5">
        <v>-29502</v>
      </c>
      <c r="F1251" s="3" t="s">
        <v>86</v>
      </c>
      <c r="G1251" s="3" t="s">
        <v>2658</v>
      </c>
      <c r="H1251" s="2" t="s">
        <v>65</v>
      </c>
      <c r="I1251" s="2" t="s">
        <v>3231</v>
      </c>
      <c r="J1251" s="3" t="str">
        <f>HYPERLINK("https://www.boe.es/gazeta/dias/1819/03/23/pdfs/GMD-1819-35.pdf#page=4","Abrir facsímil")</f>
        <v>Abrir facsímil</v>
      </c>
      <c r="K1251" s="3" t="s">
        <v>67</v>
      </c>
    </row>
    <row r="1252" spans="1:11" ht="42" customHeight="1">
      <c r="A1252" s="2" t="s">
        <v>3224</v>
      </c>
      <c r="B1252" s="2" t="s">
        <v>3224</v>
      </c>
      <c r="C1252" s="2" t="s">
        <v>80</v>
      </c>
      <c r="D1252" s="2" t="s">
        <v>81</v>
      </c>
      <c r="E1252" s="5">
        <v>-29465</v>
      </c>
      <c r="F1252" s="3" t="s">
        <v>1934</v>
      </c>
      <c r="G1252" s="3" t="s">
        <v>1935</v>
      </c>
      <c r="H1252" s="2" t="s">
        <v>65</v>
      </c>
      <c r="I1252" s="2" t="s">
        <v>3232</v>
      </c>
      <c r="J1252" s="3" t="str">
        <f>HYPERLINK("https://www.boe.es/gazeta/dias/1819/04/29/pdfs/GMD-1819-51.pdf#page=7","Abrir facsímil")</f>
        <v>Abrir facsímil</v>
      </c>
      <c r="K1252" s="3" t="s">
        <v>67</v>
      </c>
    </row>
    <row r="1253" spans="1:11" ht="42" customHeight="1">
      <c r="A1253" s="2" t="s">
        <v>3224</v>
      </c>
      <c r="B1253" s="2" t="s">
        <v>3224</v>
      </c>
      <c r="C1253" s="2" t="s">
        <v>26</v>
      </c>
      <c r="D1253" s="2" t="s">
        <v>18</v>
      </c>
      <c r="E1253" s="5">
        <v>-29453</v>
      </c>
      <c r="F1253" s="3" t="s">
        <v>768</v>
      </c>
      <c r="G1253" s="3" t="s">
        <v>33</v>
      </c>
      <c r="H1253" s="2" t="s">
        <v>65</v>
      </c>
      <c r="I1253" s="2" t="s">
        <v>3233</v>
      </c>
      <c r="J1253" s="3" t="str">
        <f>HYPERLINK("https://www.boe.es/gazeta/dias/1819/05/11/pdfs/GMD-1819-56.pdf#page=6","Abrir facsímil")</f>
        <v>Abrir facsímil</v>
      </c>
      <c r="K1253" s="3" t="s">
        <v>67</v>
      </c>
    </row>
    <row r="1254" spans="1:11" ht="42" customHeight="1">
      <c r="A1254" s="2" t="s">
        <v>3224</v>
      </c>
      <c r="B1254" s="2" t="s">
        <v>3224</v>
      </c>
      <c r="C1254" s="2" t="s">
        <v>136</v>
      </c>
      <c r="D1254" s="2" t="s">
        <v>18</v>
      </c>
      <c r="E1254" s="5">
        <v>-29453</v>
      </c>
      <c r="F1254" s="3" t="s">
        <v>768</v>
      </c>
      <c r="G1254" s="3" t="s">
        <v>28</v>
      </c>
      <c r="H1254" s="2" t="s">
        <v>65</v>
      </c>
      <c r="I1254" s="2" t="s">
        <v>3234</v>
      </c>
      <c r="J1254" s="3" t="str">
        <f>HYPERLINK("https://www.boe.es/gazeta/dias/1819/05/11/pdfs/GMD-1819-56.pdf#page=8","Abrir facsímil")</f>
        <v>Abrir facsímil</v>
      </c>
      <c r="K1254" s="3" t="s">
        <v>67</v>
      </c>
    </row>
    <row r="1255" spans="1:11" ht="42" customHeight="1">
      <c r="A1255" s="2" t="s">
        <v>3224</v>
      </c>
      <c r="B1255" s="2" t="s">
        <v>3224</v>
      </c>
      <c r="C1255" s="2" t="s">
        <v>17</v>
      </c>
      <c r="D1255" s="2" t="s">
        <v>18</v>
      </c>
      <c r="E1255" s="5">
        <v>-29432</v>
      </c>
      <c r="F1255" s="3" t="s">
        <v>1967</v>
      </c>
      <c r="G1255" s="3" t="s">
        <v>28</v>
      </c>
      <c r="H1255" s="2" t="s">
        <v>65</v>
      </c>
      <c r="I1255" s="2" t="s">
        <v>3235</v>
      </c>
      <c r="J1255" s="3" t="str">
        <f>HYPERLINK("https://www.boe.es/gazeta/dias/1819/06/01/pdfs/GMD-1819-65.pdf#page=8","Abrir facsímil")</f>
        <v>Abrir facsímil</v>
      </c>
      <c r="K1255" s="3" t="s">
        <v>67</v>
      </c>
    </row>
    <row r="1256" spans="1:11" ht="42" customHeight="1">
      <c r="A1256" s="2" t="s">
        <v>3224</v>
      </c>
      <c r="B1256" s="2" t="s">
        <v>3224</v>
      </c>
      <c r="C1256" s="2" t="s">
        <v>215</v>
      </c>
      <c r="D1256" s="2" t="s">
        <v>18</v>
      </c>
      <c r="E1256" s="5">
        <v>-29425</v>
      </c>
      <c r="F1256" s="3" t="s">
        <v>110</v>
      </c>
      <c r="G1256" s="3" t="s">
        <v>28</v>
      </c>
      <c r="H1256" s="2" t="s">
        <v>65</v>
      </c>
      <c r="I1256" s="2" t="s">
        <v>3236</v>
      </c>
      <c r="J1256" s="3" t="str">
        <f>HYPERLINK("https://www.boe.es/gazeta/dias/1819/06/08/pdfs/GMD-1819-68.pdf#page=8","Abrir facsímil")</f>
        <v>Abrir facsímil</v>
      </c>
      <c r="K1256" s="3" t="s">
        <v>67</v>
      </c>
    </row>
    <row r="1257" spans="1:11" ht="42" customHeight="1">
      <c r="A1257" s="2" t="s">
        <v>3224</v>
      </c>
      <c r="B1257" s="2" t="s">
        <v>3224</v>
      </c>
      <c r="C1257" s="2" t="s">
        <v>80</v>
      </c>
      <c r="D1257" s="2" t="s">
        <v>81</v>
      </c>
      <c r="E1257" s="5">
        <v>-29390</v>
      </c>
      <c r="F1257" s="3" t="s">
        <v>263</v>
      </c>
      <c r="G1257" s="3" t="s">
        <v>38</v>
      </c>
      <c r="H1257" s="2" t="s">
        <v>65</v>
      </c>
      <c r="I1257" s="2" t="s">
        <v>3237</v>
      </c>
      <c r="J1257" s="3" t="str">
        <f>HYPERLINK("https://www.boe.es/gazeta/dias/1819/07/13/pdfs/GMD-1819-84.pdf#page=5","Abrir facsímil")</f>
        <v>Abrir facsímil</v>
      </c>
      <c r="K1257" s="3" t="s">
        <v>67</v>
      </c>
    </row>
    <row r="1258" spans="1:11" ht="42" customHeight="1">
      <c r="A1258" s="2" t="s">
        <v>3224</v>
      </c>
      <c r="B1258" s="2" t="s">
        <v>3224</v>
      </c>
      <c r="C1258" s="2" t="s">
        <v>136</v>
      </c>
      <c r="D1258" s="2" t="s">
        <v>18</v>
      </c>
      <c r="E1258" s="5">
        <v>-29388</v>
      </c>
      <c r="F1258" s="3" t="s">
        <v>879</v>
      </c>
      <c r="G1258" s="3" t="s">
        <v>28</v>
      </c>
      <c r="H1258" s="2" t="s">
        <v>65</v>
      </c>
      <c r="I1258" s="2" t="s">
        <v>3238</v>
      </c>
      <c r="J1258" s="3" t="str">
        <f>HYPERLINK("https://www.boe.es/gazeta/dias/1819/07/15/pdfs/GMD-1819-85.pdf#page=8","Abrir facsímil")</f>
        <v>Abrir facsímil</v>
      </c>
      <c r="K1258" s="3" t="s">
        <v>67</v>
      </c>
    </row>
    <row r="1259" spans="1:11" ht="42" customHeight="1">
      <c r="A1259" s="2" t="s">
        <v>3224</v>
      </c>
      <c r="B1259" s="2" t="s">
        <v>3224</v>
      </c>
      <c r="C1259" s="2" t="s">
        <v>80</v>
      </c>
      <c r="D1259" s="2" t="s">
        <v>81</v>
      </c>
      <c r="E1259" s="5">
        <v>-29376</v>
      </c>
      <c r="F1259" s="3" t="s">
        <v>332</v>
      </c>
      <c r="G1259" s="3" t="s">
        <v>296</v>
      </c>
      <c r="H1259" s="2" t="s">
        <v>65</v>
      </c>
      <c r="I1259" s="2" t="s">
        <v>3239</v>
      </c>
      <c r="J1259" s="3" t="str">
        <f>HYPERLINK("https://www.boe.es/gazeta/dias/1819/07/27/pdfs/GMD-1819-90.pdf#page=4","Abrir facsímil")</f>
        <v>Abrir facsímil</v>
      </c>
      <c r="K1259" s="3" t="s">
        <v>67</v>
      </c>
    </row>
    <row r="1260" spans="1:11" ht="42" customHeight="1">
      <c r="A1260" s="2" t="s">
        <v>3224</v>
      </c>
      <c r="B1260" s="2" t="s">
        <v>3224</v>
      </c>
      <c r="C1260" s="2" t="s">
        <v>59</v>
      </c>
      <c r="D1260" s="2" t="s">
        <v>18</v>
      </c>
      <c r="E1260" s="5">
        <v>-29367</v>
      </c>
      <c r="F1260" s="3" t="s">
        <v>571</v>
      </c>
      <c r="G1260" s="3" t="s">
        <v>28</v>
      </c>
      <c r="H1260" s="2" t="s">
        <v>65</v>
      </c>
      <c r="I1260" s="2" t="s">
        <v>3240</v>
      </c>
      <c r="J1260" s="3" t="str">
        <f>HYPERLINK("https://www.boe.es/gazeta/dias/1819/08/05/pdfs/GMD-1819-94.pdf#page=8","Abrir facsímil")</f>
        <v>Abrir facsímil</v>
      </c>
      <c r="K1260" s="3" t="s">
        <v>67</v>
      </c>
    </row>
    <row r="1261" spans="1:11" ht="42" customHeight="1">
      <c r="A1261" s="2" t="s">
        <v>3224</v>
      </c>
      <c r="B1261" s="2" t="s">
        <v>3224</v>
      </c>
      <c r="C1261" s="2" t="s">
        <v>59</v>
      </c>
      <c r="D1261" s="2" t="s">
        <v>18</v>
      </c>
      <c r="E1261" s="5">
        <v>-29362</v>
      </c>
      <c r="F1261" s="3" t="s">
        <v>803</v>
      </c>
      <c r="G1261" s="3" t="s">
        <v>33</v>
      </c>
      <c r="H1261" s="2" t="s">
        <v>65</v>
      </c>
      <c r="I1261" s="2" t="s">
        <v>3241</v>
      </c>
      <c r="J1261" s="3" t="str">
        <f>HYPERLINK("https://www.boe.es/gazeta/dias/1819/08/10/pdfs/GMD-1819-96.pdf#page=6","Abrir facsímil")</f>
        <v>Abrir facsímil</v>
      </c>
      <c r="K1261" s="3" t="s">
        <v>67</v>
      </c>
    </row>
    <row r="1262" spans="1:11" ht="42" customHeight="1">
      <c r="A1262" s="2" t="s">
        <v>3224</v>
      </c>
      <c r="B1262" s="2" t="s">
        <v>3224</v>
      </c>
      <c r="C1262" s="2" t="s">
        <v>63</v>
      </c>
      <c r="D1262" s="2" t="s">
        <v>43</v>
      </c>
      <c r="E1262" s="5">
        <v>-29337</v>
      </c>
      <c r="F1262" s="3" t="s">
        <v>1098</v>
      </c>
      <c r="G1262" s="3" t="s">
        <v>55</v>
      </c>
      <c r="H1262" s="2" t="s">
        <v>65</v>
      </c>
      <c r="I1262" s="2" t="s">
        <v>3242</v>
      </c>
      <c r="J1262" s="3" t="str">
        <f>HYPERLINK("https://www.boe.es/gazeta/dias/1819/09/04/pdfs/GMD-1819-108.pdf#page=7","Abrir facsímil")</f>
        <v>Abrir facsímil</v>
      </c>
      <c r="K1262" s="3" t="s">
        <v>67</v>
      </c>
    </row>
    <row r="1263" spans="1:11" ht="42" customHeight="1">
      <c r="A1263" s="2" t="s">
        <v>3224</v>
      </c>
      <c r="B1263" s="2" t="s">
        <v>3224</v>
      </c>
      <c r="C1263" s="2" t="s">
        <v>63</v>
      </c>
      <c r="D1263" s="2" t="s">
        <v>43</v>
      </c>
      <c r="E1263" s="5">
        <v>-29334</v>
      </c>
      <c r="F1263" s="3" t="s">
        <v>3082</v>
      </c>
      <c r="G1263" s="3" t="s">
        <v>55</v>
      </c>
      <c r="H1263" s="2" t="s">
        <v>65</v>
      </c>
      <c r="I1263" s="2" t="s">
        <v>3243</v>
      </c>
      <c r="J1263" s="3" t="str">
        <f>HYPERLINK("https://www.boe.es/gazeta/dias/1819/09/07/pdfs/GMD-1819-109.pdf#page=7","Abrir facsímil")</f>
        <v>Abrir facsímil</v>
      </c>
      <c r="K1263" s="3" t="s">
        <v>67</v>
      </c>
    </row>
    <row r="1264" spans="1:11" ht="42" customHeight="1">
      <c r="A1264" s="2" t="s">
        <v>3224</v>
      </c>
      <c r="B1264" s="2" t="s">
        <v>3224</v>
      </c>
      <c r="C1264" s="2" t="s">
        <v>59</v>
      </c>
      <c r="D1264" s="2" t="s">
        <v>18</v>
      </c>
      <c r="E1264" s="5">
        <v>-29316</v>
      </c>
      <c r="F1264" s="3" t="s">
        <v>166</v>
      </c>
      <c r="G1264" s="3" t="s">
        <v>296</v>
      </c>
      <c r="H1264" s="2" t="s">
        <v>65</v>
      </c>
      <c r="I1264" s="2" t="s">
        <v>3244</v>
      </c>
      <c r="J1264" s="3" t="str">
        <f>HYPERLINK("https://www.boe.es/gazeta/dias/1819/09/25/pdfs/GMD-1819-118.pdf#page=4","Abrir facsímil")</f>
        <v>Abrir facsímil</v>
      </c>
      <c r="K1264" s="3" t="s">
        <v>67</v>
      </c>
    </row>
    <row r="1265" spans="1:11" ht="42" customHeight="1">
      <c r="A1265" s="2" t="s">
        <v>3224</v>
      </c>
      <c r="B1265" s="2" t="s">
        <v>3224</v>
      </c>
      <c r="C1265" s="2" t="s">
        <v>63</v>
      </c>
      <c r="D1265" s="2" t="s">
        <v>43</v>
      </c>
      <c r="E1265" s="5">
        <v>-29290</v>
      </c>
      <c r="F1265" s="3" t="s">
        <v>622</v>
      </c>
      <c r="G1265" s="3" t="s">
        <v>28</v>
      </c>
      <c r="H1265" s="2" t="s">
        <v>65</v>
      </c>
      <c r="I1265" s="2" t="s">
        <v>3245</v>
      </c>
      <c r="J1265" s="3" t="str">
        <f>HYPERLINK("https://www.boe.es/gazeta/dias/1819/10/21/pdfs/GMD-1819-129.pdf#page=8","Abrir facsímil")</f>
        <v>Abrir facsímil</v>
      </c>
      <c r="K1265" s="3" t="s">
        <v>67</v>
      </c>
    </row>
    <row r="1266" spans="1:11" ht="42" customHeight="1">
      <c r="A1266" s="2" t="s">
        <v>3224</v>
      </c>
      <c r="B1266" s="2" t="s">
        <v>3224</v>
      </c>
      <c r="C1266" s="2" t="s">
        <v>80</v>
      </c>
      <c r="D1266" s="2" t="s">
        <v>81</v>
      </c>
      <c r="E1266" s="5">
        <v>-29267</v>
      </c>
      <c r="F1266" s="3" t="s">
        <v>370</v>
      </c>
      <c r="G1266" s="3" t="s">
        <v>94</v>
      </c>
      <c r="H1266" s="2" t="s">
        <v>65</v>
      </c>
      <c r="I1266" s="2" t="s">
        <v>3246</v>
      </c>
      <c r="J1266" s="3" t="str">
        <f>HYPERLINK("https://www.boe.es/gazeta/dias/1819/11/13/pdfs/GMD-1819-140.pdf#page=11","Abrir facsímil")</f>
        <v>Abrir facsímil</v>
      </c>
      <c r="K1266" s="3" t="s">
        <v>67</v>
      </c>
    </row>
    <row r="1267" spans="1:11" ht="42" customHeight="1">
      <c r="A1267" s="2" t="s">
        <v>3224</v>
      </c>
      <c r="B1267" s="2" t="s">
        <v>3224</v>
      </c>
      <c r="C1267" s="2" t="s">
        <v>26</v>
      </c>
      <c r="D1267" s="2" t="s">
        <v>18</v>
      </c>
      <c r="E1267" s="5">
        <v>-29241</v>
      </c>
      <c r="F1267" s="3" t="s">
        <v>1382</v>
      </c>
      <c r="G1267" s="3" t="s">
        <v>3247</v>
      </c>
      <c r="H1267" s="2" t="s">
        <v>65</v>
      </c>
      <c r="I1267" s="2" t="s">
        <v>3248</v>
      </c>
      <c r="J1267" s="3" t="str">
        <f>HYPERLINK("https://www.boe.es/gazeta/dias/1819/12/09/pdfs/GMD-1819-151.pdf#page=8","Abrir facsímil")</f>
        <v>Abrir facsímil</v>
      </c>
      <c r="K1267" s="3" t="s">
        <v>67</v>
      </c>
    </row>
    <row r="1268" spans="1:11" ht="42" customHeight="1">
      <c r="A1268" s="2" t="s">
        <v>3224</v>
      </c>
      <c r="B1268" s="2" t="s">
        <v>3224</v>
      </c>
      <c r="C1268" s="2" t="s">
        <v>215</v>
      </c>
      <c r="D1268" s="2" t="s">
        <v>18</v>
      </c>
      <c r="E1268" s="5">
        <v>-29229</v>
      </c>
      <c r="F1268" s="3" t="s">
        <v>44</v>
      </c>
      <c r="G1268" s="3" t="s">
        <v>55</v>
      </c>
      <c r="H1268" s="2" t="s">
        <v>65</v>
      </c>
      <c r="I1268" s="2" t="s">
        <v>3249</v>
      </c>
      <c r="J1268" s="3" t="str">
        <f>HYPERLINK("https://www.boe.es/gazeta/dias/1819/12/21/pdfs/GMD-1819-156.pdf#page=7","Abrir facsímil")</f>
        <v>Abrir facsímil</v>
      </c>
      <c r="K1268" s="3" t="s">
        <v>67</v>
      </c>
    </row>
    <row r="1269" spans="1:11" ht="42" customHeight="1">
      <c r="A1269" s="2" t="s">
        <v>3250</v>
      </c>
      <c r="B1269" s="2" t="s">
        <v>3251</v>
      </c>
      <c r="C1269" s="2" t="s">
        <v>63</v>
      </c>
      <c r="D1269" s="2" t="s">
        <v>43</v>
      </c>
      <c r="E1269" s="5">
        <v>-29278</v>
      </c>
      <c r="F1269" s="3" t="s">
        <v>1950</v>
      </c>
      <c r="G1269" s="3" t="s">
        <v>33</v>
      </c>
      <c r="H1269" s="2" t="s">
        <v>21</v>
      </c>
      <c r="I1269" s="2" t="s">
        <v>3252</v>
      </c>
      <c r="J1269" s="3" t="str">
        <f>HYPERLINK("https://www.boe.es/gazeta/dias/1819/11/02/pdfs/GMD-1819-135.pdf#page=6","Abrir facsímil")</f>
        <v>Abrir facsímil</v>
      </c>
      <c r="K1269" s="3" t="s">
        <v>23</v>
      </c>
    </row>
    <row r="1270" spans="1:11" ht="42" customHeight="1">
      <c r="A1270" s="2" t="s">
        <v>3253</v>
      </c>
      <c r="B1270" s="2" t="s">
        <v>3253</v>
      </c>
      <c r="C1270" s="2" t="s">
        <v>59</v>
      </c>
      <c r="D1270" s="2" t="s">
        <v>18</v>
      </c>
      <c r="E1270" s="5">
        <v>-29460</v>
      </c>
      <c r="F1270" s="3" t="s">
        <v>1534</v>
      </c>
      <c r="G1270" s="3" t="s">
        <v>55</v>
      </c>
      <c r="H1270" s="2" t="s">
        <v>65</v>
      </c>
      <c r="I1270" s="2" t="s">
        <v>3254</v>
      </c>
      <c r="J1270" s="3" t="str">
        <f>HYPERLINK("https://www.boe.es/gazeta/dias/1819/05/04/pdfs/GMD-1819-53.pdf#page=7","Abrir facsímil")</f>
        <v>Abrir facsímil</v>
      </c>
      <c r="K1270" s="3" t="s">
        <v>67</v>
      </c>
    </row>
    <row r="1271" spans="1:11" ht="42" customHeight="1">
      <c r="A1271" s="2" t="s">
        <v>3255</v>
      </c>
      <c r="B1271" s="2" t="s">
        <v>3256</v>
      </c>
      <c r="C1271" s="2" t="s">
        <v>63</v>
      </c>
      <c r="D1271" s="2" t="s">
        <v>43</v>
      </c>
      <c r="E1271" s="5">
        <v>-29278</v>
      </c>
      <c r="F1271" s="3" t="s">
        <v>1950</v>
      </c>
      <c r="G1271" s="3" t="s">
        <v>55</v>
      </c>
      <c r="H1271" s="2" t="s">
        <v>65</v>
      </c>
      <c r="I1271" s="2" t="s">
        <v>3257</v>
      </c>
      <c r="J1271" s="3" t="str">
        <f>HYPERLINK("https://www.boe.es/gazeta/dias/1819/11/02/pdfs/GMD-1819-135.pdf#page=7","Abrir facsímil")</f>
        <v>Abrir facsímil</v>
      </c>
      <c r="K1271" s="3" t="s">
        <v>67</v>
      </c>
    </row>
    <row r="1272" spans="1:11" ht="42" customHeight="1">
      <c r="A1272" s="2" t="s">
        <v>3258</v>
      </c>
      <c r="B1272" s="2" t="s">
        <v>3258</v>
      </c>
      <c r="C1272" s="2" t="s">
        <v>59</v>
      </c>
      <c r="D1272" s="2" t="s">
        <v>454</v>
      </c>
      <c r="E1272" s="5">
        <v>-29419</v>
      </c>
      <c r="F1272" s="3" t="s">
        <v>1491</v>
      </c>
      <c r="G1272" s="3" t="s">
        <v>259</v>
      </c>
      <c r="H1272" s="2" t="s">
        <v>65</v>
      </c>
      <c r="I1272" s="2" t="s">
        <v>3259</v>
      </c>
      <c r="J1272" s="3" t="str">
        <f>HYPERLINK("https://www.boe.es/gazeta/dias/1819/06/14/pdfs/GMD-1819-71E.pdf#page=2","Abrir facsímil")</f>
        <v>Abrir facsímil</v>
      </c>
      <c r="K1272" s="3" t="s">
        <v>67</v>
      </c>
    </row>
    <row r="1273" spans="1:11" ht="42" customHeight="1">
      <c r="A1273" s="2" t="s">
        <v>3260</v>
      </c>
      <c r="B1273" s="2" t="s">
        <v>3261</v>
      </c>
      <c r="C1273" s="2" t="s">
        <v>63</v>
      </c>
      <c r="D1273" s="2" t="s">
        <v>43</v>
      </c>
      <c r="E1273" s="5">
        <v>-29372</v>
      </c>
      <c r="F1273" s="3" t="s">
        <v>715</v>
      </c>
      <c r="G1273" s="3" t="s">
        <v>28</v>
      </c>
      <c r="H1273" s="2" t="s">
        <v>65</v>
      </c>
      <c r="I1273" s="2" t="s">
        <v>3262</v>
      </c>
      <c r="J1273" s="3" t="str">
        <f>HYPERLINK("https://www.boe.es/gazeta/dias/1819/07/31/pdfs/GMD-1819-92.pdf#page=8","Abrir facsímil")</f>
        <v>Abrir facsímil</v>
      </c>
      <c r="K1273" s="3" t="s">
        <v>67</v>
      </c>
    </row>
    <row r="1274" spans="1:11" ht="42" customHeight="1">
      <c r="A1274" s="2" t="s">
        <v>3263</v>
      </c>
      <c r="B1274" s="2" t="s">
        <v>3264</v>
      </c>
      <c r="C1274" s="2" t="s">
        <v>80</v>
      </c>
      <c r="D1274" s="2" t="s">
        <v>81</v>
      </c>
      <c r="E1274" s="5">
        <v>-29442</v>
      </c>
      <c r="F1274" s="3" t="s">
        <v>427</v>
      </c>
      <c r="G1274" s="3" t="s">
        <v>38</v>
      </c>
      <c r="H1274" s="2" t="s">
        <v>65</v>
      </c>
      <c r="I1274" s="2" t="s">
        <v>3265</v>
      </c>
      <c r="J1274" s="3" t="str">
        <f>HYPERLINK("https://www.boe.es/gazeta/dias/1819/05/22/pdfs/GMD-1819-61.pdf#page=5","Abrir facsímil")</f>
        <v>Abrir facsímil</v>
      </c>
      <c r="K1274" s="3" t="s">
        <v>67</v>
      </c>
    </row>
    <row r="1275" spans="1:11" ht="42" customHeight="1">
      <c r="A1275" s="2" t="s">
        <v>3266</v>
      </c>
      <c r="B1275" s="2" t="s">
        <v>3267</v>
      </c>
      <c r="C1275" s="2" t="s">
        <v>80</v>
      </c>
      <c r="D1275" s="2" t="s">
        <v>81</v>
      </c>
      <c r="E1275" s="5">
        <v>-29264</v>
      </c>
      <c r="F1275" s="3" t="s">
        <v>37</v>
      </c>
      <c r="G1275" s="3" t="s">
        <v>1794</v>
      </c>
      <c r="H1275" s="2" t="s">
        <v>21</v>
      </c>
      <c r="I1275" s="2" t="s">
        <v>3268</v>
      </c>
      <c r="J1275" s="3" t="str">
        <f>HYPERLINK("https://www.boe.es/gazeta/dias/1819/11/16/pdfs/GMD-1819-141.pdf#page=11","Abrir facsímil")</f>
        <v>Abrir facsímil</v>
      </c>
      <c r="K1275" s="3" t="s">
        <v>23</v>
      </c>
    </row>
    <row r="1276" spans="1:11" ht="42" customHeight="1">
      <c r="A1276" s="2" t="s">
        <v>3269</v>
      </c>
      <c r="B1276" s="2" t="s">
        <v>3270</v>
      </c>
      <c r="C1276" s="2" t="s">
        <v>63</v>
      </c>
      <c r="D1276" s="2" t="s">
        <v>43</v>
      </c>
      <c r="E1276" s="5">
        <v>-29484</v>
      </c>
      <c r="F1276" s="3" t="s">
        <v>295</v>
      </c>
      <c r="G1276" s="3" t="s">
        <v>296</v>
      </c>
      <c r="H1276" s="2" t="s">
        <v>65</v>
      </c>
      <c r="I1276" s="2" t="s">
        <v>3271</v>
      </c>
      <c r="J1276" s="3" t="str">
        <f>HYPERLINK("https://www.boe.es/gazeta/dias/1819/04/10/pdfs/GMD-1819-43.pdf#page=4","Abrir facsímil")</f>
        <v>Abrir facsímil</v>
      </c>
      <c r="K1276" s="3" t="s">
        <v>67</v>
      </c>
    </row>
    <row r="1277" spans="1:11" ht="42" customHeight="1">
      <c r="A1277" s="2" t="s">
        <v>3272</v>
      </c>
      <c r="B1277" s="2" t="s">
        <v>3273</v>
      </c>
      <c r="C1277" s="2" t="s">
        <v>63</v>
      </c>
      <c r="D1277" s="2" t="s">
        <v>43</v>
      </c>
      <c r="E1277" s="5">
        <v>-29285</v>
      </c>
      <c r="F1277" s="3" t="s">
        <v>578</v>
      </c>
      <c r="G1277" s="3" t="s">
        <v>28</v>
      </c>
      <c r="H1277" s="2" t="s">
        <v>65</v>
      </c>
      <c r="I1277" s="2" t="s">
        <v>3274</v>
      </c>
      <c r="J1277" s="3" t="str">
        <f>HYPERLINK("https://www.boe.es/gazeta/dias/1819/10/26/pdfs/GMD-1819-132.pdf#page=8","Abrir facsímil")</f>
        <v>Abrir facsímil</v>
      </c>
      <c r="K1277" s="3" t="s">
        <v>67</v>
      </c>
    </row>
    <row r="1278" spans="1:11" ht="42" customHeight="1">
      <c r="A1278" s="2" t="s">
        <v>3275</v>
      </c>
      <c r="B1278" s="2" t="s">
        <v>3276</v>
      </c>
      <c r="C1278" s="2" t="s">
        <v>63</v>
      </c>
      <c r="D1278" s="2" t="s">
        <v>43</v>
      </c>
      <c r="E1278" s="5">
        <v>-29369</v>
      </c>
      <c r="F1278" s="3" t="s">
        <v>231</v>
      </c>
      <c r="G1278" s="3" t="s">
        <v>28</v>
      </c>
      <c r="H1278" s="2" t="s">
        <v>21</v>
      </c>
      <c r="I1278" s="2" t="s">
        <v>3277</v>
      </c>
      <c r="J1278" s="3" t="str">
        <f>HYPERLINK("https://www.boe.es/gazeta/dias/1819/08/03/pdfs/GMD-1819-93.pdf#page=8","Abrir facsímil")</f>
        <v>Abrir facsímil</v>
      </c>
      <c r="K1278" s="3" t="s">
        <v>23</v>
      </c>
    </row>
    <row r="1279" spans="1:11" ht="42" customHeight="1">
      <c r="A1279" s="2" t="s">
        <v>3278</v>
      </c>
      <c r="B1279" s="2" t="s">
        <v>3279</v>
      </c>
      <c r="C1279" s="2" t="s">
        <v>63</v>
      </c>
      <c r="D1279" s="2" t="s">
        <v>43</v>
      </c>
      <c r="E1279" s="5">
        <v>-29248</v>
      </c>
      <c r="F1279" s="3" t="s">
        <v>395</v>
      </c>
      <c r="G1279" s="3" t="s">
        <v>296</v>
      </c>
      <c r="H1279" s="2" t="s">
        <v>65</v>
      </c>
      <c r="I1279" s="2" t="s">
        <v>3280</v>
      </c>
      <c r="J1279" s="3" t="str">
        <f>HYPERLINK("https://www.boe.es/gazeta/dias/1819/12/02/pdfs/GMD-1819-148.pdf#page=4","Abrir facsímil")</f>
        <v>Abrir facsímil</v>
      </c>
      <c r="K1279" s="3" t="s">
        <v>67</v>
      </c>
    </row>
    <row r="1280" spans="1:11" ht="42" customHeight="1">
      <c r="A1280" s="2" t="s">
        <v>3281</v>
      </c>
      <c r="B1280" s="2" t="s">
        <v>3282</v>
      </c>
      <c r="C1280" s="2" t="s">
        <v>80</v>
      </c>
      <c r="D1280" s="2" t="s">
        <v>81</v>
      </c>
      <c r="E1280" s="5">
        <v>-29456</v>
      </c>
      <c r="F1280" s="3" t="s">
        <v>468</v>
      </c>
      <c r="G1280" s="3" t="s">
        <v>55</v>
      </c>
      <c r="H1280" s="2" t="s">
        <v>65</v>
      </c>
      <c r="I1280" s="2" t="s">
        <v>3283</v>
      </c>
      <c r="J1280" s="3" t="str">
        <f>HYPERLINK("https://www.boe.es/gazeta/dias/1819/05/08/pdfs/GMD-1819-55.pdf#page=7","Abrir facsímil")</f>
        <v>Abrir facsímil</v>
      </c>
      <c r="K1280" s="3" t="s">
        <v>67</v>
      </c>
    </row>
    <row r="1281" spans="1:11" ht="42" customHeight="1">
      <c r="A1281" s="2" t="s">
        <v>3284</v>
      </c>
      <c r="B1281" s="2" t="s">
        <v>3285</v>
      </c>
      <c r="C1281" s="2" t="s">
        <v>215</v>
      </c>
      <c r="D1281" s="2" t="s">
        <v>18</v>
      </c>
      <c r="E1281" s="5">
        <v>-29274</v>
      </c>
      <c r="F1281" s="3" t="s">
        <v>247</v>
      </c>
      <c r="G1281" s="3" t="s">
        <v>28</v>
      </c>
      <c r="H1281" s="2" t="s">
        <v>65</v>
      </c>
      <c r="I1281" s="2" t="s">
        <v>3286</v>
      </c>
      <c r="J1281" s="3" t="str">
        <f>HYPERLINK("https://www.boe.es/gazeta/dias/1819/11/06/pdfs/GMD-1819-137.pdf#page=8","Abrir facsímil")</f>
        <v>Abrir facsímil</v>
      </c>
      <c r="K1281" s="3" t="s">
        <v>67</v>
      </c>
    </row>
    <row r="1282" spans="1:11" ht="42" customHeight="1">
      <c r="A1282" s="2" t="s">
        <v>3287</v>
      </c>
      <c r="B1282" s="2" t="s">
        <v>3288</v>
      </c>
      <c r="C1282" s="2" t="s">
        <v>17</v>
      </c>
      <c r="D1282" s="2" t="s">
        <v>18</v>
      </c>
      <c r="E1282" s="5">
        <v>-29257</v>
      </c>
      <c r="F1282" s="3" t="s">
        <v>73</v>
      </c>
      <c r="G1282" s="3" t="s">
        <v>826</v>
      </c>
      <c r="H1282" s="2" t="s">
        <v>65</v>
      </c>
      <c r="I1282" s="2" t="s">
        <v>3289</v>
      </c>
      <c r="J1282" s="3" t="str">
        <f>HYPERLINK("https://www.boe.es/gazeta/dias/1819/11/23/pdfs/GMD-1819-144.pdf#page=11","Abrir facsímil")</f>
        <v>Abrir facsímil</v>
      </c>
      <c r="K1282" s="3" t="s">
        <v>67</v>
      </c>
    </row>
    <row r="1283" spans="1:11" ht="42" customHeight="1">
      <c r="A1283" s="2" t="s">
        <v>3290</v>
      </c>
      <c r="B1283" s="2" t="s">
        <v>3291</v>
      </c>
      <c r="C1283" s="2" t="s">
        <v>17</v>
      </c>
      <c r="D1283" s="2" t="s">
        <v>18</v>
      </c>
      <c r="E1283" s="5">
        <v>-29351</v>
      </c>
      <c r="F1283" s="3" t="s">
        <v>101</v>
      </c>
      <c r="G1283" s="3" t="s">
        <v>3292</v>
      </c>
      <c r="H1283" s="2" t="s">
        <v>65</v>
      </c>
      <c r="I1283" s="2" t="s">
        <v>3293</v>
      </c>
      <c r="J1283" s="3" t="str">
        <f>HYPERLINK("https://www.boe.es/gazeta/dias/1819/08/21/pdfs/GMD-1819-101.pdf#page=4","Abrir facsímil")</f>
        <v>Abrir facsímil</v>
      </c>
      <c r="K1283" s="3" t="s">
        <v>67</v>
      </c>
    </row>
    <row r="1284" spans="1:11" ht="42" customHeight="1">
      <c r="A1284" s="2" t="s">
        <v>3294</v>
      </c>
      <c r="B1284" s="2" t="s">
        <v>3295</v>
      </c>
      <c r="C1284" s="2" t="s">
        <v>63</v>
      </c>
      <c r="D1284" s="2" t="s">
        <v>454</v>
      </c>
      <c r="E1284" s="5">
        <v>-29287</v>
      </c>
      <c r="F1284" s="3" t="s">
        <v>455</v>
      </c>
      <c r="G1284" s="3" t="s">
        <v>481</v>
      </c>
      <c r="H1284" s="2" t="s">
        <v>65</v>
      </c>
      <c r="I1284" s="2" t="s">
        <v>3296</v>
      </c>
      <c r="J1284" s="3" t="str">
        <f>HYPERLINK("https://www.boe.es/gazeta/dias/1819/10/24/pdfs/GMD-1819-131E.pdf#page=8","Abrir facsímil")</f>
        <v>Abrir facsímil</v>
      </c>
      <c r="K1284" s="3" t="s">
        <v>67</v>
      </c>
    </row>
    <row r="1285" spans="1:11" ht="42" customHeight="1">
      <c r="A1285" s="2" t="s">
        <v>3297</v>
      </c>
      <c r="B1285" s="2" t="s">
        <v>3298</v>
      </c>
      <c r="C1285" s="2" t="s">
        <v>80</v>
      </c>
      <c r="D1285" s="2" t="s">
        <v>454</v>
      </c>
      <c r="E1285" s="5">
        <v>-29287</v>
      </c>
      <c r="F1285" s="3" t="s">
        <v>455</v>
      </c>
      <c r="G1285" s="3" t="s">
        <v>481</v>
      </c>
      <c r="H1285" s="2" t="s">
        <v>65</v>
      </c>
      <c r="I1285" s="2" t="s">
        <v>3299</v>
      </c>
      <c r="J1285" s="3" t="str">
        <f>HYPERLINK("https://www.boe.es/gazeta/dias/1819/10/24/pdfs/GMD-1819-131E.pdf#page=8","Abrir facsímil")</f>
        <v>Abrir facsímil</v>
      </c>
      <c r="K1285" s="3" t="s">
        <v>67</v>
      </c>
    </row>
    <row r="1286" spans="1:11" ht="42" customHeight="1">
      <c r="A1286" s="2" t="s">
        <v>3300</v>
      </c>
      <c r="B1286" s="2" t="s">
        <v>3300</v>
      </c>
      <c r="C1286" s="2" t="s">
        <v>80</v>
      </c>
      <c r="D1286" s="2" t="s">
        <v>81</v>
      </c>
      <c r="E1286" s="5">
        <v>-29369</v>
      </c>
      <c r="F1286" s="3" t="s">
        <v>231</v>
      </c>
      <c r="G1286" s="3" t="s">
        <v>232</v>
      </c>
      <c r="H1286" s="2" t="s">
        <v>65</v>
      </c>
      <c r="I1286" s="2" t="s">
        <v>3301</v>
      </c>
      <c r="J1286" s="3" t="str">
        <f>HYPERLINK("https://www.boe.es/gazeta/dias/1819/08/03/pdfs/GMD-1819-93.pdf#page=5","Abrir facsímil")</f>
        <v>Abrir facsímil</v>
      </c>
      <c r="K1286" s="3" t="s">
        <v>67</v>
      </c>
    </row>
    <row r="1287" spans="1:11" ht="42" customHeight="1">
      <c r="A1287" s="2" t="s">
        <v>3302</v>
      </c>
      <c r="B1287" s="2" t="s">
        <v>3303</v>
      </c>
      <c r="C1287" s="2" t="s">
        <v>59</v>
      </c>
      <c r="D1287" s="2" t="s">
        <v>18</v>
      </c>
      <c r="E1287" s="5">
        <v>-29332</v>
      </c>
      <c r="F1287" s="3" t="s">
        <v>499</v>
      </c>
      <c r="G1287" s="3" t="s">
        <v>33</v>
      </c>
      <c r="H1287" s="2" t="s">
        <v>65</v>
      </c>
      <c r="I1287" s="2" t="s">
        <v>3304</v>
      </c>
      <c r="J1287" s="3" t="str">
        <f>HYPERLINK("https://www.boe.es/gazeta/dias/1819/09/09/pdfs/GMD-1819-110.pdf#page=6","Abrir facsímil")</f>
        <v>Abrir facsímil</v>
      </c>
      <c r="K1287" s="3" t="s">
        <v>67</v>
      </c>
    </row>
    <row r="1288" spans="1:11" ht="42" customHeight="1">
      <c r="A1288" s="2" t="s">
        <v>3305</v>
      </c>
      <c r="B1288" s="2" t="s">
        <v>3306</v>
      </c>
      <c r="C1288" s="2" t="s">
        <v>80</v>
      </c>
      <c r="D1288" s="2" t="s">
        <v>81</v>
      </c>
      <c r="E1288" s="5">
        <v>-29425</v>
      </c>
      <c r="F1288" s="3" t="s">
        <v>110</v>
      </c>
      <c r="G1288" s="3" t="s">
        <v>38</v>
      </c>
      <c r="H1288" s="2" t="s">
        <v>65</v>
      </c>
      <c r="I1288" s="2" t="s">
        <v>3307</v>
      </c>
      <c r="J1288" s="3" t="str">
        <f>HYPERLINK("https://www.boe.es/gazeta/dias/1819/06/08/pdfs/GMD-1819-68.pdf#page=5","Abrir facsímil")</f>
        <v>Abrir facsímil</v>
      </c>
      <c r="K1288" s="3" t="s">
        <v>67</v>
      </c>
    </row>
    <row r="1289" spans="1:11" ht="42" customHeight="1">
      <c r="A1289" s="2" t="s">
        <v>3308</v>
      </c>
      <c r="B1289" s="2" t="s">
        <v>3309</v>
      </c>
      <c r="C1289" s="2" t="s">
        <v>63</v>
      </c>
      <c r="D1289" s="2" t="s">
        <v>43</v>
      </c>
      <c r="E1289" s="5">
        <v>-29516</v>
      </c>
      <c r="F1289" s="3" t="s">
        <v>137</v>
      </c>
      <c r="G1289" s="3" t="s">
        <v>20</v>
      </c>
      <c r="H1289" s="2" t="s">
        <v>65</v>
      </c>
      <c r="I1289" s="2" t="s">
        <v>3310</v>
      </c>
      <c r="J1289" s="3" t="str">
        <f>HYPERLINK("https://www.boe.es/gazeta/dias/1819/03/09/pdfs/GMD-1819-29.pdf#page=10","Abrir facsímil")</f>
        <v>Abrir facsímil</v>
      </c>
      <c r="K1289" s="3" t="s">
        <v>67</v>
      </c>
    </row>
    <row r="1290" spans="1:11" ht="42" customHeight="1">
      <c r="A1290" s="2" t="s">
        <v>3311</v>
      </c>
      <c r="B1290" s="2" t="s">
        <v>3312</v>
      </c>
      <c r="C1290" s="2" t="s">
        <v>17</v>
      </c>
      <c r="D1290" s="2" t="s">
        <v>454</v>
      </c>
      <c r="E1290" s="5">
        <v>-29324</v>
      </c>
      <c r="F1290" s="3" t="s">
        <v>914</v>
      </c>
      <c r="G1290" s="3" t="s">
        <v>102</v>
      </c>
      <c r="H1290" s="2" t="s">
        <v>65</v>
      </c>
      <c r="I1290" s="2" t="s">
        <v>3313</v>
      </c>
      <c r="J1290" s="3" t="str">
        <f>HYPERLINK("https://www.boe.es/gazeta/dias/1819/09/17/pdfs/GMD-1819-114E.pdf#page=3","Abrir facsímil")</f>
        <v>Abrir facsímil</v>
      </c>
      <c r="K1290" s="3" t="s">
        <v>67</v>
      </c>
    </row>
    <row r="1291" spans="1:11" ht="42" customHeight="1">
      <c r="A1291" s="2" t="s">
        <v>3314</v>
      </c>
      <c r="B1291" s="2" t="s">
        <v>3315</v>
      </c>
      <c r="C1291" s="2" t="s">
        <v>80</v>
      </c>
      <c r="D1291" s="2" t="s">
        <v>81</v>
      </c>
      <c r="E1291" s="5">
        <v>-29274</v>
      </c>
      <c r="F1291" s="3" t="s">
        <v>247</v>
      </c>
      <c r="G1291" s="3" t="s">
        <v>33</v>
      </c>
      <c r="H1291" s="2" t="s">
        <v>65</v>
      </c>
      <c r="I1291" s="2" t="s">
        <v>3316</v>
      </c>
      <c r="J1291" s="3" t="str">
        <f>HYPERLINK("https://www.boe.es/gazeta/dias/1819/11/06/pdfs/GMD-1819-137.pdf#page=6","Abrir facsímil")</f>
        <v>Abrir facsímil</v>
      </c>
      <c r="K1291" s="3" t="s">
        <v>67</v>
      </c>
    </row>
    <row r="1292" spans="1:11" ht="42" customHeight="1">
      <c r="A1292" s="2" t="s">
        <v>3317</v>
      </c>
      <c r="B1292" s="2" t="s">
        <v>3317</v>
      </c>
      <c r="C1292" s="2" t="s">
        <v>63</v>
      </c>
      <c r="D1292" s="2" t="s">
        <v>43</v>
      </c>
      <c r="E1292" s="5">
        <v>-29540</v>
      </c>
      <c r="F1292" s="3" t="s">
        <v>154</v>
      </c>
      <c r="G1292" s="3" t="s">
        <v>55</v>
      </c>
      <c r="H1292" s="2" t="s">
        <v>65</v>
      </c>
      <c r="I1292" s="2" t="s">
        <v>3318</v>
      </c>
      <c r="J1292" s="3" t="str">
        <f>HYPERLINK("https://www.boe.es/gazeta/dias/1819/02/13/pdfs/GMD-1819-19.pdf#page=7","Abrir facsímil")</f>
        <v>Abrir facsímil</v>
      </c>
      <c r="K1292" s="3" t="s">
        <v>67</v>
      </c>
    </row>
    <row r="1293" spans="1:11" ht="42" customHeight="1">
      <c r="A1293" s="2" t="s">
        <v>3319</v>
      </c>
      <c r="B1293" s="2" t="s">
        <v>3320</v>
      </c>
      <c r="C1293" s="2" t="s">
        <v>80</v>
      </c>
      <c r="D1293" s="2" t="s">
        <v>81</v>
      </c>
      <c r="E1293" s="5">
        <v>-29316</v>
      </c>
      <c r="F1293" s="3" t="s">
        <v>166</v>
      </c>
      <c r="G1293" s="3" t="s">
        <v>20</v>
      </c>
      <c r="H1293" s="2" t="s">
        <v>65</v>
      </c>
      <c r="I1293" s="2" t="s">
        <v>3321</v>
      </c>
      <c r="J1293" s="3" t="str">
        <f>HYPERLINK("https://www.boe.es/gazeta/dias/1819/09/25/pdfs/GMD-1819-118.pdf#page=10","Abrir facsímil")</f>
        <v>Abrir facsímil</v>
      </c>
      <c r="K1293" s="3" t="s">
        <v>67</v>
      </c>
    </row>
    <row r="1294" spans="1:11" ht="42" customHeight="1">
      <c r="A1294" s="2" t="s">
        <v>3322</v>
      </c>
      <c r="B1294" s="2" t="s">
        <v>3323</v>
      </c>
      <c r="C1294" s="2" t="s">
        <v>63</v>
      </c>
      <c r="D1294" s="2" t="s">
        <v>43</v>
      </c>
      <c r="E1294" s="5">
        <v>-29484</v>
      </c>
      <c r="F1294" s="3" t="s">
        <v>295</v>
      </c>
      <c r="G1294" s="3" t="s">
        <v>55</v>
      </c>
      <c r="H1294" s="2" t="s">
        <v>65</v>
      </c>
      <c r="I1294" s="2" t="s">
        <v>3324</v>
      </c>
      <c r="J1294" s="3" t="str">
        <f>HYPERLINK("https://www.boe.es/gazeta/dias/1819/04/10/pdfs/GMD-1819-43.pdf#page=7","Abrir facsímil")</f>
        <v>Abrir facsímil</v>
      </c>
      <c r="K1294" s="3" t="s">
        <v>67</v>
      </c>
    </row>
    <row r="1295" spans="1:11" ht="42" customHeight="1">
      <c r="A1295" s="2" t="s">
        <v>3325</v>
      </c>
      <c r="B1295" s="2" t="s">
        <v>3326</v>
      </c>
      <c r="C1295" s="2" t="s">
        <v>63</v>
      </c>
      <c r="D1295" s="2" t="s">
        <v>43</v>
      </c>
      <c r="E1295" s="5">
        <v>-29281</v>
      </c>
      <c r="F1295" s="3" t="s">
        <v>19</v>
      </c>
      <c r="G1295" s="3" t="s">
        <v>55</v>
      </c>
      <c r="H1295" s="2" t="s">
        <v>65</v>
      </c>
      <c r="I1295" s="2" t="s">
        <v>3327</v>
      </c>
      <c r="J1295" s="3" t="str">
        <f>HYPERLINK("https://www.boe.es/gazeta/dias/1819/10/30/pdfs/GMD-1819-134.pdf#page=7","Abrir facsímil")</f>
        <v>Abrir facsímil</v>
      </c>
      <c r="K1295" s="3" t="s">
        <v>67</v>
      </c>
    </row>
    <row r="1296" spans="1:11" ht="42" customHeight="1">
      <c r="A1296" s="2" t="s">
        <v>3328</v>
      </c>
      <c r="B1296" s="2" t="s">
        <v>3328</v>
      </c>
      <c r="C1296" s="2" t="s">
        <v>80</v>
      </c>
      <c r="D1296" s="2" t="s">
        <v>81</v>
      </c>
      <c r="E1296" s="5">
        <v>-29306</v>
      </c>
      <c r="F1296" s="3" t="s">
        <v>303</v>
      </c>
      <c r="G1296" s="3" t="s">
        <v>239</v>
      </c>
      <c r="H1296" s="2" t="s">
        <v>65</v>
      </c>
      <c r="I1296" s="2" t="s">
        <v>3329</v>
      </c>
      <c r="J1296" s="3" t="str">
        <f>HYPERLINK("https://www.boe.es/gazeta/dias/1819/10/05/pdfs/GMD-1819-122.pdf#page=1","Abrir facsímil")</f>
        <v>Abrir facsímil</v>
      </c>
      <c r="K1296" s="3" t="s">
        <v>67</v>
      </c>
    </row>
    <row r="1297" spans="1:11" ht="42" customHeight="1">
      <c r="A1297" s="2" t="s">
        <v>3330</v>
      </c>
      <c r="B1297" s="2" t="s">
        <v>3331</v>
      </c>
      <c r="C1297" s="2" t="s">
        <v>215</v>
      </c>
      <c r="D1297" s="2" t="s">
        <v>18</v>
      </c>
      <c r="E1297" s="5">
        <v>-29521</v>
      </c>
      <c r="F1297" s="3" t="s">
        <v>1002</v>
      </c>
      <c r="G1297" s="3" t="s">
        <v>33</v>
      </c>
      <c r="H1297" s="2" t="s">
        <v>65</v>
      </c>
      <c r="I1297" s="2" t="s">
        <v>3332</v>
      </c>
      <c r="J1297" s="3" t="str">
        <f>HYPERLINK("https://www.boe.es/gazeta/dias/1819/03/04/pdfs/GMD-1819-27.pdf#page=6","Abrir facsímil")</f>
        <v>Abrir facsímil</v>
      </c>
      <c r="K1297" s="3" t="s">
        <v>67</v>
      </c>
    </row>
    <row r="1298" spans="1:11" ht="42" customHeight="1">
      <c r="A1298" s="2" t="s">
        <v>3333</v>
      </c>
      <c r="B1298" s="2" t="s">
        <v>3334</v>
      </c>
      <c r="C1298" s="2" t="s">
        <v>246</v>
      </c>
      <c r="D1298" s="2" t="s">
        <v>18</v>
      </c>
      <c r="E1298" s="5">
        <v>-29362</v>
      </c>
      <c r="F1298" s="3" t="s">
        <v>803</v>
      </c>
      <c r="G1298" s="3" t="s">
        <v>28</v>
      </c>
      <c r="H1298" s="2" t="s">
        <v>65</v>
      </c>
      <c r="I1298" s="2" t="s">
        <v>3335</v>
      </c>
      <c r="J1298" s="3" t="str">
        <f>HYPERLINK("https://www.boe.es/gazeta/dias/1819/08/10/pdfs/GMD-1819-96.pdf#page=8","Abrir facsímil")</f>
        <v>Abrir facsímil</v>
      </c>
      <c r="K1298" s="3" t="s">
        <v>67</v>
      </c>
    </row>
    <row r="1299" spans="1:11" ht="42" customHeight="1">
      <c r="A1299" s="2" t="s">
        <v>3336</v>
      </c>
      <c r="B1299" s="2" t="s">
        <v>3337</v>
      </c>
      <c r="C1299" s="2" t="s">
        <v>215</v>
      </c>
      <c r="D1299" s="2" t="s">
        <v>18</v>
      </c>
      <c r="E1299" s="5">
        <v>-29521</v>
      </c>
      <c r="F1299" s="3" t="s">
        <v>1002</v>
      </c>
      <c r="G1299" s="3" t="s">
        <v>33</v>
      </c>
      <c r="H1299" s="2" t="s">
        <v>65</v>
      </c>
      <c r="I1299" s="2" t="s">
        <v>3338</v>
      </c>
      <c r="J1299" s="3" t="str">
        <f>HYPERLINK("https://www.boe.es/gazeta/dias/1819/03/04/pdfs/GMD-1819-27.pdf#page=6","Abrir facsímil")</f>
        <v>Abrir facsímil</v>
      </c>
      <c r="K1299" s="3" t="s">
        <v>67</v>
      </c>
    </row>
    <row r="1300" spans="1:11" ht="42" customHeight="1">
      <c r="A1300" s="2" t="s">
        <v>3339</v>
      </c>
      <c r="B1300" s="2" t="s">
        <v>3340</v>
      </c>
      <c r="C1300" s="2" t="s">
        <v>80</v>
      </c>
      <c r="D1300" s="2" t="s">
        <v>81</v>
      </c>
      <c r="E1300" s="5">
        <v>-29297</v>
      </c>
      <c r="F1300" s="3" t="s">
        <v>82</v>
      </c>
      <c r="G1300" s="3" t="s">
        <v>33</v>
      </c>
      <c r="H1300" s="2" t="s">
        <v>65</v>
      </c>
      <c r="I1300" s="2" t="s">
        <v>3341</v>
      </c>
      <c r="J1300" s="3" t="str">
        <f>HYPERLINK("https://www.boe.es/gazeta/dias/1819/10/14/pdfs/GMD-1819-126.pdf#page=6","Abrir facsímil")</f>
        <v>Abrir facsímil</v>
      </c>
      <c r="K1300" s="3" t="s">
        <v>67</v>
      </c>
    </row>
    <row r="1301" spans="1:11" ht="42" customHeight="1">
      <c r="A1301" s="2" t="s">
        <v>3342</v>
      </c>
      <c r="B1301" s="2" t="s">
        <v>3343</v>
      </c>
      <c r="C1301" s="2" t="s">
        <v>17</v>
      </c>
      <c r="D1301" s="2" t="s">
        <v>18</v>
      </c>
      <c r="E1301" s="5">
        <v>-29269</v>
      </c>
      <c r="F1301" s="3" t="s">
        <v>565</v>
      </c>
      <c r="G1301" s="3" t="s">
        <v>38</v>
      </c>
      <c r="H1301" s="2" t="s">
        <v>65</v>
      </c>
      <c r="I1301" s="2" t="s">
        <v>3344</v>
      </c>
      <c r="J1301" s="3" t="str">
        <f>HYPERLINK("https://www.boe.es/gazeta/dias/1819/11/11/pdfs/GMD-1819-139.pdf#page=5","Abrir facsímil")</f>
        <v>Abrir facsímil</v>
      </c>
      <c r="K1301" s="3" t="s">
        <v>67</v>
      </c>
    </row>
    <row r="1302" spans="1:11" ht="42" customHeight="1">
      <c r="A1302" s="2" t="s">
        <v>3345</v>
      </c>
      <c r="B1302" s="2" t="s">
        <v>3346</v>
      </c>
      <c r="C1302" s="2" t="s">
        <v>26</v>
      </c>
      <c r="D1302" s="2" t="s">
        <v>454</v>
      </c>
      <c r="E1302" s="5">
        <v>-29287</v>
      </c>
      <c r="F1302" s="3" t="s">
        <v>455</v>
      </c>
      <c r="G1302" s="3" t="s">
        <v>20</v>
      </c>
      <c r="H1302" s="2" t="s">
        <v>65</v>
      </c>
      <c r="I1302" s="2" t="s">
        <v>3347</v>
      </c>
      <c r="J1302" s="3" t="str">
        <f>HYPERLINK("https://www.boe.es/gazeta/dias/1819/10/24/pdfs/GMD-1819-131E.pdf#page=10","Abrir facsímil")</f>
        <v>Abrir facsímil</v>
      </c>
      <c r="K1302" s="3" t="s">
        <v>67</v>
      </c>
    </row>
    <row r="1303" spans="1:11" ht="42" customHeight="1">
      <c r="A1303" s="2" t="s">
        <v>3348</v>
      </c>
      <c r="B1303" s="2" t="s">
        <v>3348</v>
      </c>
      <c r="C1303" s="2" t="s">
        <v>80</v>
      </c>
      <c r="D1303" s="2" t="s">
        <v>81</v>
      </c>
      <c r="E1303" s="5">
        <v>-29346</v>
      </c>
      <c r="F1303" s="3" t="s">
        <v>718</v>
      </c>
      <c r="G1303" s="3" t="s">
        <v>33</v>
      </c>
      <c r="H1303" s="2" t="s">
        <v>65</v>
      </c>
      <c r="I1303" s="2" t="s">
        <v>3349</v>
      </c>
      <c r="J1303" s="3" t="str">
        <f>HYPERLINK("https://www.boe.es/gazeta/dias/1819/08/26/pdfs/GMD-1819-103.pdf#page=6","Abrir facsímil")</f>
        <v>Abrir facsímil</v>
      </c>
      <c r="K1303" s="3" t="s">
        <v>67</v>
      </c>
    </row>
    <row r="1304" spans="1:11" ht="42" customHeight="1">
      <c r="A1304" s="2" t="s">
        <v>3350</v>
      </c>
      <c r="B1304" s="2" t="s">
        <v>3351</v>
      </c>
      <c r="C1304" s="2" t="s">
        <v>80</v>
      </c>
      <c r="D1304" s="2" t="s">
        <v>81</v>
      </c>
      <c r="E1304" s="5">
        <v>-29269</v>
      </c>
      <c r="F1304" s="3" t="s">
        <v>565</v>
      </c>
      <c r="G1304" s="3" t="s">
        <v>296</v>
      </c>
      <c r="H1304" s="2" t="s">
        <v>21</v>
      </c>
      <c r="I1304" s="2" t="s">
        <v>3352</v>
      </c>
      <c r="J1304" s="3" t="str">
        <f>HYPERLINK("https://www.boe.es/gazeta/dias/1819/11/11/pdfs/GMD-1819-139.pdf#page=4","Abrir facsímil")</f>
        <v>Abrir facsímil</v>
      </c>
      <c r="K1304" s="3" t="s">
        <v>23</v>
      </c>
    </row>
    <row r="1305" spans="1:11" ht="42" customHeight="1">
      <c r="A1305" s="2" t="s">
        <v>3353</v>
      </c>
      <c r="B1305" s="2" t="s">
        <v>3354</v>
      </c>
      <c r="C1305" s="2" t="s">
        <v>136</v>
      </c>
      <c r="D1305" s="2" t="s">
        <v>18</v>
      </c>
      <c r="E1305" s="5">
        <v>-29533</v>
      </c>
      <c r="F1305" s="3" t="s">
        <v>280</v>
      </c>
      <c r="G1305" s="3" t="s">
        <v>55</v>
      </c>
      <c r="H1305" s="2" t="s">
        <v>65</v>
      </c>
      <c r="I1305" s="2" t="s">
        <v>3355</v>
      </c>
      <c r="J1305" s="3" t="str">
        <f>HYPERLINK("https://www.boe.es/gazeta/dias/1819/02/20/pdfs/GMD-1819-22.pdf#page=7","Abrir facsímil")</f>
        <v>Abrir facsímil</v>
      </c>
      <c r="K1305" s="3" t="s">
        <v>67</v>
      </c>
    </row>
    <row r="1306" spans="1:11" ht="42" customHeight="1">
      <c r="A1306" s="2" t="s">
        <v>3356</v>
      </c>
      <c r="B1306" s="2" t="s">
        <v>3357</v>
      </c>
      <c r="C1306" s="2" t="s">
        <v>80</v>
      </c>
      <c r="D1306" s="2" t="s">
        <v>81</v>
      </c>
      <c r="E1306" s="5">
        <v>-29507</v>
      </c>
      <c r="F1306" s="3" t="s">
        <v>1928</v>
      </c>
      <c r="G1306" s="3" t="s">
        <v>28</v>
      </c>
      <c r="H1306" s="2" t="s">
        <v>65</v>
      </c>
      <c r="I1306" s="2" t="s">
        <v>3358</v>
      </c>
      <c r="J1306" s="3" t="str">
        <f>HYPERLINK("https://www.boe.es/gazeta/dias/1819/03/18/pdfs/GMD-1819-33.pdf#page=8","Abrir facsímil")</f>
        <v>Abrir facsímil</v>
      </c>
      <c r="K1306" s="3" t="s">
        <v>67</v>
      </c>
    </row>
    <row r="1307" spans="1:11" ht="42" customHeight="1">
      <c r="A1307" s="2" t="s">
        <v>3359</v>
      </c>
      <c r="B1307" s="2" t="s">
        <v>3360</v>
      </c>
      <c r="C1307" s="2" t="s">
        <v>80</v>
      </c>
      <c r="D1307" s="2" t="s">
        <v>81</v>
      </c>
      <c r="E1307" s="5">
        <v>-29323</v>
      </c>
      <c r="F1307" s="3" t="s">
        <v>270</v>
      </c>
      <c r="G1307" s="3" t="s">
        <v>3361</v>
      </c>
      <c r="H1307" s="2" t="s">
        <v>21</v>
      </c>
      <c r="I1307" s="2" t="s">
        <v>3362</v>
      </c>
      <c r="J1307" s="3" t="str">
        <f>HYPERLINK("https://www.boe.es/gazeta/dias/1819/09/18/pdfs/GMD-1819-115.pdf#page=6","Abrir facsímil")</f>
        <v>Abrir facsímil</v>
      </c>
      <c r="K1307" s="3" t="s">
        <v>23</v>
      </c>
    </row>
    <row r="1308" spans="1:11" ht="42" customHeight="1">
      <c r="A1308" s="2" t="s">
        <v>3363</v>
      </c>
      <c r="B1308" s="2" t="s">
        <v>3364</v>
      </c>
      <c r="C1308" s="2" t="s">
        <v>136</v>
      </c>
      <c r="D1308" s="2" t="s">
        <v>18</v>
      </c>
      <c r="E1308" s="5">
        <v>-29397</v>
      </c>
      <c r="F1308" s="3" t="s">
        <v>599</v>
      </c>
      <c r="G1308" s="3" t="s">
        <v>38</v>
      </c>
      <c r="H1308" s="2" t="s">
        <v>21</v>
      </c>
      <c r="I1308" s="2" t="s">
        <v>3365</v>
      </c>
      <c r="J1308" s="3" t="str">
        <f>HYPERLINK("https://www.boe.es/gazeta/dias/1819/07/06/pdfs/GMD-1819-81.pdf#page=5","Abrir facsímil")</f>
        <v>Abrir facsímil</v>
      </c>
      <c r="K1308" s="3" t="s">
        <v>23</v>
      </c>
    </row>
    <row r="1309" spans="1:11" ht="42" customHeight="1">
      <c r="A1309" s="2" t="s">
        <v>3366</v>
      </c>
      <c r="B1309" s="2" t="s">
        <v>3367</v>
      </c>
      <c r="C1309" s="2" t="s">
        <v>80</v>
      </c>
      <c r="D1309" s="2" t="s">
        <v>81</v>
      </c>
      <c r="E1309" s="5">
        <v>-29547</v>
      </c>
      <c r="F1309" s="3" t="s">
        <v>238</v>
      </c>
      <c r="G1309" s="3" t="s">
        <v>55</v>
      </c>
      <c r="H1309" s="2" t="s">
        <v>65</v>
      </c>
      <c r="I1309" s="2" t="s">
        <v>3368</v>
      </c>
      <c r="J1309" s="3" t="str">
        <f>HYPERLINK("https://www.boe.es/gazeta/dias/1819/02/06/pdfs/GMD-1819-16.pdf#page=7","Abrir facsímil")</f>
        <v>Abrir facsímil</v>
      </c>
      <c r="K1309" s="3" t="s">
        <v>67</v>
      </c>
    </row>
    <row r="1310" spans="1:11" ht="42" customHeight="1">
      <c r="A1310" s="2" t="s">
        <v>3369</v>
      </c>
      <c r="B1310" s="2" t="s">
        <v>3369</v>
      </c>
      <c r="C1310" s="2" t="s">
        <v>136</v>
      </c>
      <c r="D1310" s="2" t="s">
        <v>18</v>
      </c>
      <c r="E1310" s="5">
        <v>-29358</v>
      </c>
      <c r="F1310" s="3" t="s">
        <v>170</v>
      </c>
      <c r="G1310" s="3" t="s">
        <v>102</v>
      </c>
      <c r="H1310" s="2" t="s">
        <v>65</v>
      </c>
      <c r="I1310" s="2" t="s">
        <v>3370</v>
      </c>
      <c r="J1310" s="3" t="str">
        <f>HYPERLINK("https://www.boe.es/gazeta/dias/1819/08/14/pdfs/GMD-1819-98.pdf#page=3","Abrir facsímil")</f>
        <v>Abrir facsímil</v>
      </c>
      <c r="K1310" s="3" t="s">
        <v>67</v>
      </c>
    </row>
    <row r="1311" spans="1:11" ht="42" customHeight="1">
      <c r="A1311" s="2" t="s">
        <v>3371</v>
      </c>
      <c r="B1311" s="2" t="s">
        <v>3372</v>
      </c>
      <c r="C1311" s="2" t="s">
        <v>26</v>
      </c>
      <c r="D1311" s="2" t="s">
        <v>18</v>
      </c>
      <c r="E1311" s="5">
        <v>-29530</v>
      </c>
      <c r="F1311" s="3" t="s">
        <v>202</v>
      </c>
      <c r="G1311" s="3" t="s">
        <v>20</v>
      </c>
      <c r="H1311" s="2" t="s">
        <v>65</v>
      </c>
      <c r="I1311" s="2" t="s">
        <v>3373</v>
      </c>
      <c r="J1311" s="3" t="str">
        <f>HYPERLINK("https://www.boe.es/gazeta/dias/1819/02/23/pdfs/GMD-1819-23.pdf#page=10","Abrir facsímil")</f>
        <v>Abrir facsímil</v>
      </c>
      <c r="K1311" s="3" t="s">
        <v>67</v>
      </c>
    </row>
    <row r="1312" spans="1:11" ht="42" customHeight="1">
      <c r="A1312" s="2" t="s">
        <v>3374</v>
      </c>
      <c r="B1312" s="2" t="s">
        <v>3375</v>
      </c>
      <c r="C1312" s="2" t="s">
        <v>59</v>
      </c>
      <c r="D1312" s="2" t="s">
        <v>18</v>
      </c>
      <c r="E1312" s="5">
        <v>-29267</v>
      </c>
      <c r="F1312" s="3" t="s">
        <v>370</v>
      </c>
      <c r="G1312" s="3" t="s">
        <v>55</v>
      </c>
      <c r="H1312" s="2" t="s">
        <v>65</v>
      </c>
      <c r="I1312" s="2" t="s">
        <v>3376</v>
      </c>
      <c r="J1312" s="3" t="str">
        <f>HYPERLINK("https://www.boe.es/gazeta/dias/1819/11/13/pdfs/GMD-1819-140.pdf#page=7","Abrir facsímil")</f>
        <v>Abrir facsímil</v>
      </c>
      <c r="K1312" s="3" t="s">
        <v>67</v>
      </c>
    </row>
    <row r="1313" spans="1:11" ht="42" customHeight="1">
      <c r="A1313" s="2" t="s">
        <v>3377</v>
      </c>
      <c r="B1313" s="2" t="s">
        <v>3378</v>
      </c>
      <c r="C1313" s="2" t="s">
        <v>80</v>
      </c>
      <c r="D1313" s="2" t="s">
        <v>81</v>
      </c>
      <c r="E1313" s="5">
        <v>-29530</v>
      </c>
      <c r="F1313" s="3" t="s">
        <v>202</v>
      </c>
      <c r="G1313" s="3" t="s">
        <v>28</v>
      </c>
      <c r="H1313" s="2" t="s">
        <v>65</v>
      </c>
      <c r="I1313" s="2" t="s">
        <v>3379</v>
      </c>
      <c r="J1313" s="3" t="str">
        <f>HYPERLINK("https://www.boe.es/gazeta/dias/1819/02/23/pdfs/GMD-1819-23.pdf#page=8","Abrir facsímil")</f>
        <v>Abrir facsímil</v>
      </c>
      <c r="K1313" s="3" t="s">
        <v>67</v>
      </c>
    </row>
    <row r="1314" spans="1:11" ht="42" customHeight="1">
      <c r="A1314" s="2" t="s">
        <v>3380</v>
      </c>
      <c r="B1314" s="2" t="s">
        <v>3381</v>
      </c>
      <c r="C1314" s="2" t="s">
        <v>80</v>
      </c>
      <c r="D1314" s="2" t="s">
        <v>81</v>
      </c>
      <c r="E1314" s="5">
        <v>-29409</v>
      </c>
      <c r="F1314" s="3" t="s">
        <v>106</v>
      </c>
      <c r="G1314" s="3" t="s">
        <v>28</v>
      </c>
      <c r="H1314" s="2" t="s">
        <v>65</v>
      </c>
      <c r="I1314" s="2" t="s">
        <v>3382</v>
      </c>
      <c r="J1314" s="3" t="str">
        <f>HYPERLINK("https://www.boe.es/gazeta/dias/1819/06/24/pdfs/GMD-1819-76.pdf#page=8","Abrir facsímil")</f>
        <v>Abrir facsímil</v>
      </c>
      <c r="K1314" s="3" t="s">
        <v>67</v>
      </c>
    </row>
    <row r="1315" spans="1:11" ht="42" customHeight="1">
      <c r="A1315" s="2" t="s">
        <v>3383</v>
      </c>
      <c r="B1315" s="2" t="s">
        <v>3384</v>
      </c>
      <c r="C1315" s="2" t="s">
        <v>80</v>
      </c>
      <c r="D1315" s="2" t="s">
        <v>81</v>
      </c>
      <c r="E1315" s="5">
        <v>-29390</v>
      </c>
      <c r="F1315" s="3" t="s">
        <v>263</v>
      </c>
      <c r="G1315" s="3" t="s">
        <v>1498</v>
      </c>
      <c r="H1315" s="2" t="s">
        <v>65</v>
      </c>
      <c r="I1315" s="2" t="s">
        <v>3385</v>
      </c>
      <c r="J1315" s="3" t="str">
        <f>HYPERLINK("https://www.boe.es/gazeta/dias/1819/07/13/pdfs/GMD-1819-84.pdf#page=12","Abrir facsímil")</f>
        <v>Abrir facsímil</v>
      </c>
      <c r="K1315" s="3" t="s">
        <v>67</v>
      </c>
    </row>
    <row r="1316" spans="1:11" ht="42" customHeight="1">
      <c r="A1316" s="2" t="s">
        <v>3386</v>
      </c>
      <c r="B1316" s="2" t="s">
        <v>3387</v>
      </c>
      <c r="C1316" s="2" t="s">
        <v>17</v>
      </c>
      <c r="D1316" s="2" t="s">
        <v>18</v>
      </c>
      <c r="E1316" s="5">
        <v>-29451</v>
      </c>
      <c r="F1316" s="3" t="s">
        <v>208</v>
      </c>
      <c r="G1316" s="3" t="s">
        <v>28</v>
      </c>
      <c r="H1316" s="2" t="s">
        <v>65</v>
      </c>
      <c r="I1316" s="2" t="s">
        <v>3388</v>
      </c>
      <c r="J1316" s="3" t="str">
        <f>HYPERLINK("https://www.boe.es/gazeta/dias/1819/05/13/pdfs/GMD-1819-57.pdf#page=8","Abrir facsímil")</f>
        <v>Abrir facsímil</v>
      </c>
      <c r="K1316" s="3" t="s">
        <v>67</v>
      </c>
    </row>
    <row r="1317" spans="1:11" ht="42" customHeight="1">
      <c r="A1317" s="2" t="s">
        <v>3389</v>
      </c>
      <c r="B1317" s="2" t="s">
        <v>3390</v>
      </c>
      <c r="C1317" s="2" t="s">
        <v>63</v>
      </c>
      <c r="D1317" s="2" t="s">
        <v>43</v>
      </c>
      <c r="E1317" s="5">
        <v>-29509</v>
      </c>
      <c r="F1317" s="3" t="s">
        <v>942</v>
      </c>
      <c r="G1317" s="3" t="s">
        <v>102</v>
      </c>
      <c r="H1317" s="2" t="s">
        <v>65</v>
      </c>
      <c r="I1317" s="2" t="s">
        <v>3391</v>
      </c>
      <c r="J1317" s="3" t="str">
        <f>HYPERLINK("https://www.boe.es/gazeta/dias/1819/03/16/pdfs/GMD-1819-32.pdf#page=3","Abrir facsímil")</f>
        <v>Abrir facsímil</v>
      </c>
      <c r="K1317" s="3" t="s">
        <v>67</v>
      </c>
    </row>
    <row r="1318" spans="1:11" ht="42" customHeight="1">
      <c r="A1318" s="2" t="s">
        <v>3392</v>
      </c>
      <c r="B1318" s="2" t="s">
        <v>3392</v>
      </c>
      <c r="C1318" s="2" t="s">
        <v>63</v>
      </c>
      <c r="D1318" s="2" t="s">
        <v>43</v>
      </c>
      <c r="E1318" s="5">
        <v>-29528</v>
      </c>
      <c r="F1318" s="3" t="s">
        <v>708</v>
      </c>
      <c r="G1318" s="3" t="s">
        <v>38</v>
      </c>
      <c r="H1318" s="2" t="s">
        <v>65</v>
      </c>
      <c r="I1318" s="2" t="s">
        <v>3393</v>
      </c>
      <c r="J1318" s="3" t="str">
        <f>HYPERLINK("https://www.boe.es/gazeta/dias/1819/02/25/pdfs/GMD-1819-24.pdf#page=5","Abrir facsímil")</f>
        <v>Abrir facsímil</v>
      </c>
      <c r="K1318" s="3" t="s">
        <v>67</v>
      </c>
    </row>
    <row r="1319" spans="1:11" ht="42" customHeight="1">
      <c r="A1319" s="2" t="s">
        <v>3394</v>
      </c>
      <c r="B1319" s="2" t="s">
        <v>3394</v>
      </c>
      <c r="C1319" s="2" t="s">
        <v>80</v>
      </c>
      <c r="D1319" s="2" t="s">
        <v>81</v>
      </c>
      <c r="E1319" s="5">
        <v>-29442</v>
      </c>
      <c r="F1319" s="3" t="s">
        <v>427</v>
      </c>
      <c r="G1319" s="3" t="s">
        <v>38</v>
      </c>
      <c r="H1319" s="2" t="s">
        <v>65</v>
      </c>
      <c r="I1319" s="2" t="s">
        <v>3395</v>
      </c>
      <c r="J1319" s="3" t="str">
        <f>HYPERLINK("https://www.boe.es/gazeta/dias/1819/05/22/pdfs/GMD-1819-61.pdf#page=5","Abrir facsímil")</f>
        <v>Abrir facsímil</v>
      </c>
      <c r="K1319" s="3" t="s">
        <v>67</v>
      </c>
    </row>
    <row r="1320" spans="1:11" ht="42" customHeight="1">
      <c r="A1320" s="2" t="s">
        <v>3396</v>
      </c>
      <c r="B1320" s="2" t="s">
        <v>3397</v>
      </c>
      <c r="C1320" s="2" t="s">
        <v>80</v>
      </c>
      <c r="D1320" s="2" t="s">
        <v>81</v>
      </c>
      <c r="E1320" s="5">
        <v>-29498</v>
      </c>
      <c r="F1320" s="3" t="s">
        <v>119</v>
      </c>
      <c r="G1320" s="3" t="s">
        <v>120</v>
      </c>
      <c r="H1320" s="2" t="s">
        <v>65</v>
      </c>
      <c r="I1320" s="2" t="s">
        <v>3398</v>
      </c>
      <c r="J1320" s="3" t="str">
        <f>HYPERLINK("https://www.boe.es/gazeta/dias/1819/03/27/pdfs/GMD-1819-37.pdf#page=6","Abrir facsímil")</f>
        <v>Abrir facsímil</v>
      </c>
      <c r="K1320" s="3" t="s">
        <v>67</v>
      </c>
    </row>
    <row r="1321" spans="1:11" ht="42" customHeight="1">
      <c r="A1321" s="2" t="s">
        <v>3396</v>
      </c>
      <c r="B1321" s="2" t="s">
        <v>3397</v>
      </c>
      <c r="C1321" s="2" t="s">
        <v>59</v>
      </c>
      <c r="D1321" s="2" t="s">
        <v>18</v>
      </c>
      <c r="E1321" s="5">
        <v>-29430</v>
      </c>
      <c r="F1321" s="3" t="s">
        <v>178</v>
      </c>
      <c r="G1321" s="3" t="s">
        <v>55</v>
      </c>
      <c r="H1321" s="2" t="s">
        <v>65</v>
      </c>
      <c r="I1321" s="2" t="s">
        <v>3399</v>
      </c>
      <c r="J1321" s="3" t="str">
        <f>HYPERLINK("https://www.boe.es/gazeta/dias/1819/06/03/pdfs/GMD-1819-66.pdf#page=7","Abrir facsímil")</f>
        <v>Abrir facsímil</v>
      </c>
      <c r="K1321" s="3" t="s">
        <v>67</v>
      </c>
    </row>
    <row r="1322" spans="1:11" ht="42" customHeight="1">
      <c r="A1322" s="2" t="s">
        <v>3400</v>
      </c>
      <c r="B1322" s="2" t="s">
        <v>3400</v>
      </c>
      <c r="C1322" s="2" t="s">
        <v>59</v>
      </c>
      <c r="D1322" s="2" t="s">
        <v>18</v>
      </c>
      <c r="E1322" s="5">
        <v>-29544</v>
      </c>
      <c r="F1322" s="3" t="s">
        <v>531</v>
      </c>
      <c r="G1322" s="3" t="s">
        <v>532</v>
      </c>
      <c r="H1322" s="2" t="s">
        <v>65</v>
      </c>
      <c r="I1322" s="2" t="s">
        <v>3401</v>
      </c>
      <c r="J1322" s="3" t="str">
        <f>HYPERLINK("https://www.boe.es/gazeta/dias/1819/02/09/pdfs/GMD-1819-17.pdf#page=8","Abrir facsímil")</f>
        <v>Abrir facsímil</v>
      </c>
      <c r="K1322" s="3" t="s">
        <v>67</v>
      </c>
    </row>
    <row r="1323" spans="1:11" ht="42" customHeight="1">
      <c r="A1323" s="2" t="s">
        <v>3400</v>
      </c>
      <c r="B1323" s="2" t="s">
        <v>3400</v>
      </c>
      <c r="C1323" s="2" t="s">
        <v>63</v>
      </c>
      <c r="D1323" s="2" t="s">
        <v>43</v>
      </c>
      <c r="E1323" s="5">
        <v>-29488</v>
      </c>
      <c r="F1323" s="3" t="s">
        <v>27</v>
      </c>
      <c r="G1323" s="3" t="s">
        <v>55</v>
      </c>
      <c r="H1323" s="2" t="s">
        <v>65</v>
      </c>
      <c r="I1323" s="2" t="s">
        <v>3402</v>
      </c>
      <c r="J1323" s="3" t="str">
        <f>HYPERLINK("https://www.boe.es/gazeta/dias/1819/04/06/pdfs/GMD-1819-41.pdf#page=7","Abrir facsímil")</f>
        <v>Abrir facsímil</v>
      </c>
      <c r="K1323" s="3" t="s">
        <v>67</v>
      </c>
    </row>
    <row r="1324" spans="1:11" ht="42" customHeight="1">
      <c r="A1324" s="2" t="s">
        <v>3400</v>
      </c>
      <c r="B1324" s="2" t="s">
        <v>3400</v>
      </c>
      <c r="C1324" s="2" t="s">
        <v>80</v>
      </c>
      <c r="D1324" s="2" t="s">
        <v>81</v>
      </c>
      <c r="E1324" s="5">
        <v>-29479</v>
      </c>
      <c r="F1324" s="3" t="s">
        <v>979</v>
      </c>
      <c r="G1324" s="3" t="s">
        <v>296</v>
      </c>
      <c r="H1324" s="2" t="s">
        <v>65</v>
      </c>
      <c r="I1324" s="2" t="s">
        <v>3403</v>
      </c>
      <c r="J1324" s="3" t="str">
        <f>HYPERLINK("https://www.boe.es/gazeta/dias/1819/04/15/pdfs/GMD-1819-45.pdf#page=4","Abrir facsímil")</f>
        <v>Abrir facsímil</v>
      </c>
      <c r="K1324" s="3" t="s">
        <v>67</v>
      </c>
    </row>
    <row r="1325" spans="1:11" ht="42" customHeight="1">
      <c r="A1325" s="2" t="s">
        <v>3400</v>
      </c>
      <c r="B1325" s="2" t="s">
        <v>3400</v>
      </c>
      <c r="C1325" s="2" t="s">
        <v>80</v>
      </c>
      <c r="D1325" s="2" t="s">
        <v>81</v>
      </c>
      <c r="E1325" s="5">
        <v>-29411</v>
      </c>
      <c r="F1325" s="3" t="s">
        <v>317</v>
      </c>
      <c r="G1325" s="3" t="s">
        <v>55</v>
      </c>
      <c r="H1325" s="2" t="s">
        <v>65</v>
      </c>
      <c r="I1325" s="2" t="s">
        <v>3404</v>
      </c>
      <c r="J1325" s="3" t="str">
        <f>HYPERLINK("https://www.boe.es/gazeta/dias/1819/06/22/pdfs/GMD-1819-75.pdf#page=7","Abrir facsímil")</f>
        <v>Abrir facsímil</v>
      </c>
      <c r="K1325" s="3" t="s">
        <v>67</v>
      </c>
    </row>
    <row r="1326" spans="1:11" ht="42" customHeight="1">
      <c r="A1326" s="2" t="s">
        <v>3400</v>
      </c>
      <c r="B1326" s="2" t="s">
        <v>3400</v>
      </c>
      <c r="C1326" s="2" t="s">
        <v>42</v>
      </c>
      <c r="D1326" s="2" t="s">
        <v>43</v>
      </c>
      <c r="E1326" s="5">
        <v>-29318</v>
      </c>
      <c r="F1326" s="3" t="s">
        <v>1442</v>
      </c>
      <c r="G1326" s="3" t="s">
        <v>1443</v>
      </c>
      <c r="H1326" s="2" t="s">
        <v>65</v>
      </c>
      <c r="I1326" s="2" t="s">
        <v>3405</v>
      </c>
      <c r="J1326" s="3" t="str">
        <f>HYPERLINK("https://www.boe.es/gazeta/dias/1819/09/23/pdfs/GMD-1819-117.pdf#page=8","Abrir facsímil")</f>
        <v>Abrir facsímil</v>
      </c>
      <c r="K1326" s="3" t="s">
        <v>67</v>
      </c>
    </row>
    <row r="1327" spans="1:11" ht="42" customHeight="1">
      <c r="A1327" s="2" t="s">
        <v>3400</v>
      </c>
      <c r="B1327" s="2" t="s">
        <v>3400</v>
      </c>
      <c r="C1327" s="2" t="s">
        <v>80</v>
      </c>
      <c r="D1327" s="2" t="s">
        <v>81</v>
      </c>
      <c r="E1327" s="5">
        <v>-29260</v>
      </c>
      <c r="F1327" s="3" t="s">
        <v>93</v>
      </c>
      <c r="G1327" s="3" t="s">
        <v>1275</v>
      </c>
      <c r="H1327" s="2" t="s">
        <v>65</v>
      </c>
      <c r="I1327" s="2" t="s">
        <v>3406</v>
      </c>
      <c r="J1327" s="3" t="str">
        <f>HYPERLINK("https://www.boe.es/gazeta/dias/1819/11/20/pdfs/GMD-1819-143.pdf#page=10","Abrir facsímil")</f>
        <v>Abrir facsímil</v>
      </c>
      <c r="K1327" s="3" t="s">
        <v>67</v>
      </c>
    </row>
    <row r="1328" spans="1:11" ht="42" customHeight="1">
      <c r="A1328" s="2" t="s">
        <v>3407</v>
      </c>
      <c r="B1328" s="2" t="s">
        <v>3408</v>
      </c>
      <c r="C1328" s="2" t="s">
        <v>80</v>
      </c>
      <c r="D1328" s="2" t="s">
        <v>81</v>
      </c>
      <c r="E1328" s="5">
        <v>-29260</v>
      </c>
      <c r="F1328" s="3" t="s">
        <v>93</v>
      </c>
      <c r="G1328" s="3" t="s">
        <v>94</v>
      </c>
      <c r="H1328" s="2" t="s">
        <v>21</v>
      </c>
      <c r="I1328" s="2" t="s">
        <v>3409</v>
      </c>
      <c r="J1328" s="3" t="str">
        <f>HYPERLINK("https://www.boe.es/gazeta/dias/1819/11/20/pdfs/GMD-1819-143.pdf#page=11","Abrir facsímil")</f>
        <v>Abrir facsímil</v>
      </c>
      <c r="K1328" s="3" t="s">
        <v>23</v>
      </c>
    </row>
    <row r="1329" spans="1:11" ht="42" customHeight="1">
      <c r="A1329" s="2" t="s">
        <v>3410</v>
      </c>
      <c r="B1329" s="2" t="s">
        <v>3410</v>
      </c>
      <c r="C1329" s="2" t="s">
        <v>17</v>
      </c>
      <c r="D1329" s="2" t="s">
        <v>18</v>
      </c>
      <c r="E1329" s="5">
        <v>-29477</v>
      </c>
      <c r="F1329" s="3" t="s">
        <v>789</v>
      </c>
      <c r="G1329" s="3" t="s">
        <v>33</v>
      </c>
      <c r="H1329" s="2" t="s">
        <v>65</v>
      </c>
      <c r="I1329" s="2" t="s">
        <v>3411</v>
      </c>
      <c r="J1329" s="3" t="str">
        <f>HYPERLINK("https://www.boe.es/gazeta/dias/1819/04/17/pdfs/GMD-1819-46.pdf#page=6","Abrir facsímil")</f>
        <v>Abrir facsímil</v>
      </c>
      <c r="K1329" s="3" t="s">
        <v>67</v>
      </c>
    </row>
    <row r="1330" spans="1:11" ht="42" customHeight="1">
      <c r="A1330" s="2" t="s">
        <v>3412</v>
      </c>
      <c r="B1330" s="2" t="s">
        <v>3412</v>
      </c>
      <c r="C1330" s="2" t="s">
        <v>215</v>
      </c>
      <c r="D1330" s="2" t="s">
        <v>18</v>
      </c>
      <c r="E1330" s="5">
        <v>-29477</v>
      </c>
      <c r="F1330" s="3" t="s">
        <v>789</v>
      </c>
      <c r="G1330" s="3" t="s">
        <v>28</v>
      </c>
      <c r="H1330" s="2" t="s">
        <v>65</v>
      </c>
      <c r="I1330" s="2" t="s">
        <v>3413</v>
      </c>
      <c r="J1330" s="3" t="str">
        <f>HYPERLINK("https://www.boe.es/gazeta/dias/1819/04/17/pdfs/GMD-1819-46.pdf#page=8","Abrir facsímil")</f>
        <v>Abrir facsímil</v>
      </c>
      <c r="K1330" s="3" t="s">
        <v>67</v>
      </c>
    </row>
    <row r="1331" spans="1:11" ht="42" customHeight="1">
      <c r="A1331" s="2" t="s">
        <v>3412</v>
      </c>
      <c r="B1331" s="2" t="s">
        <v>3412</v>
      </c>
      <c r="C1331" s="2" t="s">
        <v>63</v>
      </c>
      <c r="D1331" s="2" t="s">
        <v>43</v>
      </c>
      <c r="E1331" s="5">
        <v>-29400</v>
      </c>
      <c r="F1331" s="3" t="s">
        <v>2181</v>
      </c>
      <c r="G1331" s="3" t="s">
        <v>55</v>
      </c>
      <c r="H1331" s="2" t="s">
        <v>65</v>
      </c>
      <c r="I1331" s="2" t="s">
        <v>3414</v>
      </c>
      <c r="J1331" s="3" t="str">
        <f>HYPERLINK("https://www.boe.es/gazeta/dias/1819/07/03/pdfs/GMD-1819-80.pdf#page=7","Abrir facsímil")</f>
        <v>Abrir facsímil</v>
      </c>
      <c r="K1331" s="3" t="s">
        <v>67</v>
      </c>
    </row>
    <row r="1332" spans="1:11" ht="42" customHeight="1">
      <c r="A1332" s="2" t="s">
        <v>3412</v>
      </c>
      <c r="B1332" s="2" t="s">
        <v>3412</v>
      </c>
      <c r="C1332" s="2" t="s">
        <v>80</v>
      </c>
      <c r="D1332" s="2" t="s">
        <v>81</v>
      </c>
      <c r="E1332" s="5">
        <v>-29316</v>
      </c>
      <c r="F1332" s="3" t="s">
        <v>166</v>
      </c>
      <c r="G1332" s="3" t="s">
        <v>296</v>
      </c>
      <c r="H1332" s="2" t="s">
        <v>65</v>
      </c>
      <c r="I1332" s="2" t="s">
        <v>3415</v>
      </c>
      <c r="J1332" s="3" t="str">
        <f>HYPERLINK("https://www.boe.es/gazeta/dias/1819/09/25/pdfs/GMD-1819-118.pdf#page=4","Abrir facsímil")</f>
        <v>Abrir facsímil</v>
      </c>
      <c r="K1332" s="3" t="s">
        <v>67</v>
      </c>
    </row>
    <row r="1333" spans="1:11" ht="42" customHeight="1">
      <c r="A1333" s="2" t="s">
        <v>3416</v>
      </c>
      <c r="B1333" s="2" t="s">
        <v>3416</v>
      </c>
      <c r="C1333" s="2" t="s">
        <v>59</v>
      </c>
      <c r="D1333" s="2" t="s">
        <v>18</v>
      </c>
      <c r="E1333" s="5">
        <v>-29297</v>
      </c>
      <c r="F1333" s="3" t="s">
        <v>82</v>
      </c>
      <c r="G1333" s="3" t="s">
        <v>38</v>
      </c>
      <c r="H1333" s="2" t="s">
        <v>65</v>
      </c>
      <c r="I1333" s="2" t="s">
        <v>3417</v>
      </c>
      <c r="J1333" s="3" t="str">
        <f>HYPERLINK("https://www.boe.es/gazeta/dias/1819/10/14/pdfs/GMD-1819-126.pdf#page=5","Abrir facsímil")</f>
        <v>Abrir facsímil</v>
      </c>
      <c r="K1333" s="3" t="s">
        <v>67</v>
      </c>
    </row>
    <row r="1334" spans="1:11" ht="42" customHeight="1">
      <c r="A1334" s="2" t="s">
        <v>3416</v>
      </c>
      <c r="B1334" s="2" t="s">
        <v>3416</v>
      </c>
      <c r="C1334" s="2" t="s">
        <v>136</v>
      </c>
      <c r="D1334" s="2" t="s">
        <v>18</v>
      </c>
      <c r="E1334" s="5">
        <v>-29225</v>
      </c>
      <c r="F1334" s="3" t="s">
        <v>472</v>
      </c>
      <c r="G1334" s="3" t="s">
        <v>55</v>
      </c>
      <c r="H1334" s="2" t="s">
        <v>65</v>
      </c>
      <c r="I1334" s="2" t="s">
        <v>3418</v>
      </c>
      <c r="J1334" s="3" t="str">
        <f>HYPERLINK("https://www.boe.es/gazeta/dias/1819/12/25/pdfs/GMD-1819-158.pdf#page=7","Abrir facsímil")</f>
        <v>Abrir facsímil</v>
      </c>
      <c r="K1334" s="3" t="s">
        <v>67</v>
      </c>
    </row>
    <row r="1335" spans="1:11" ht="42" customHeight="1">
      <c r="A1335" s="2" t="s">
        <v>3419</v>
      </c>
      <c r="B1335" s="2" t="s">
        <v>3420</v>
      </c>
      <c r="C1335" s="2" t="s">
        <v>59</v>
      </c>
      <c r="D1335" s="2" t="s">
        <v>18</v>
      </c>
      <c r="E1335" s="5">
        <v>-29421</v>
      </c>
      <c r="F1335" s="3" t="s">
        <v>1972</v>
      </c>
      <c r="G1335" s="3" t="s">
        <v>55</v>
      </c>
      <c r="H1335" s="2" t="s">
        <v>65</v>
      </c>
      <c r="I1335" s="2" t="s">
        <v>3421</v>
      </c>
      <c r="J1335" s="3" t="str">
        <f>HYPERLINK("https://www.boe.es/gazeta/dias/1819/06/12/pdfs/GMD-1819-70.pdf#page=7","Abrir facsímil")</f>
        <v>Abrir facsímil</v>
      </c>
      <c r="K1335" s="3" t="s">
        <v>67</v>
      </c>
    </row>
    <row r="1336" spans="1:11" ht="42" customHeight="1">
      <c r="A1336" s="2" t="s">
        <v>3419</v>
      </c>
      <c r="B1336" s="2" t="s">
        <v>3420</v>
      </c>
      <c r="C1336" s="2" t="s">
        <v>80</v>
      </c>
      <c r="D1336" s="2" t="s">
        <v>81</v>
      </c>
      <c r="E1336" s="5">
        <v>-29374</v>
      </c>
      <c r="F1336" s="3" t="s">
        <v>204</v>
      </c>
      <c r="G1336" s="3" t="s">
        <v>55</v>
      </c>
      <c r="H1336" s="2" t="s">
        <v>65</v>
      </c>
      <c r="I1336" s="2" t="s">
        <v>3422</v>
      </c>
      <c r="J1336" s="3" t="str">
        <f>HYPERLINK("https://www.boe.es/gazeta/dias/1819/07/29/pdfs/GMD-1819-91.pdf#page=7","Abrir facsímil")</f>
        <v>Abrir facsímil</v>
      </c>
      <c r="K1336" s="3" t="s">
        <v>67</v>
      </c>
    </row>
    <row r="1337" spans="1:11" ht="42" customHeight="1">
      <c r="A1337" s="2" t="s">
        <v>3419</v>
      </c>
      <c r="B1337" s="2" t="s">
        <v>3420</v>
      </c>
      <c r="C1337" s="2" t="s">
        <v>59</v>
      </c>
      <c r="D1337" s="2" t="s">
        <v>18</v>
      </c>
      <c r="E1337" s="5">
        <v>-29267</v>
      </c>
      <c r="F1337" s="3" t="s">
        <v>370</v>
      </c>
      <c r="G1337" s="3" t="s">
        <v>33</v>
      </c>
      <c r="H1337" s="2" t="s">
        <v>65</v>
      </c>
      <c r="I1337" s="2" t="s">
        <v>3423</v>
      </c>
      <c r="J1337" s="3" t="str">
        <f>HYPERLINK("https://www.boe.es/gazeta/dias/1819/11/13/pdfs/GMD-1819-140.pdf#page=6","Abrir facsímil")</f>
        <v>Abrir facsímil</v>
      </c>
      <c r="K1337" s="3" t="s">
        <v>67</v>
      </c>
    </row>
    <row r="1338" spans="1:11" ht="42" customHeight="1">
      <c r="A1338" s="2" t="s">
        <v>3424</v>
      </c>
      <c r="B1338" s="2" t="s">
        <v>3425</v>
      </c>
      <c r="C1338" s="2" t="s">
        <v>136</v>
      </c>
      <c r="D1338" s="2" t="s">
        <v>18</v>
      </c>
      <c r="E1338" s="5">
        <v>-29537</v>
      </c>
      <c r="F1338" s="3" t="s">
        <v>593</v>
      </c>
      <c r="G1338" s="3" t="s">
        <v>28</v>
      </c>
      <c r="H1338" s="2" t="s">
        <v>65</v>
      </c>
      <c r="I1338" s="2" t="s">
        <v>3426</v>
      </c>
      <c r="J1338" s="3" t="str">
        <f>HYPERLINK("https://www.boe.es/gazeta/dias/1819/02/16/pdfs/GMD-1819-20.pdf#page=8","Abrir facsímil")</f>
        <v>Abrir facsímil</v>
      </c>
      <c r="K1338" s="3" t="s">
        <v>67</v>
      </c>
    </row>
    <row r="1339" spans="1:11" ht="42" customHeight="1">
      <c r="A1339" s="2" t="s">
        <v>3424</v>
      </c>
      <c r="B1339" s="2" t="s">
        <v>3425</v>
      </c>
      <c r="C1339" s="2" t="s">
        <v>63</v>
      </c>
      <c r="D1339" s="2" t="s">
        <v>43</v>
      </c>
      <c r="E1339" s="5">
        <v>-29507</v>
      </c>
      <c r="F1339" s="3" t="s">
        <v>1928</v>
      </c>
      <c r="G1339" s="3" t="s">
        <v>33</v>
      </c>
      <c r="H1339" s="2" t="s">
        <v>65</v>
      </c>
      <c r="I1339" s="2" t="s">
        <v>3427</v>
      </c>
      <c r="J1339" s="3" t="str">
        <f>HYPERLINK("https://www.boe.es/gazeta/dias/1819/03/18/pdfs/GMD-1819-33.pdf#page=6","Abrir facsímil")</f>
        <v>Abrir facsímil</v>
      </c>
      <c r="K1339" s="3" t="s">
        <v>67</v>
      </c>
    </row>
    <row r="1340" spans="1:11" ht="42" customHeight="1">
      <c r="A1340" s="2" t="s">
        <v>3428</v>
      </c>
      <c r="B1340" s="2" t="s">
        <v>3428</v>
      </c>
      <c r="C1340" s="2" t="s">
        <v>136</v>
      </c>
      <c r="D1340" s="2" t="s">
        <v>18</v>
      </c>
      <c r="E1340" s="5">
        <v>-29547</v>
      </c>
      <c r="F1340" s="3" t="s">
        <v>238</v>
      </c>
      <c r="G1340" s="3" t="s">
        <v>55</v>
      </c>
      <c r="H1340" s="2" t="s">
        <v>65</v>
      </c>
      <c r="I1340" s="2" t="s">
        <v>3429</v>
      </c>
      <c r="J1340" s="3" t="str">
        <f>HYPERLINK("https://www.boe.es/gazeta/dias/1819/02/06/pdfs/GMD-1819-16.pdf#page=7","Abrir facsímil")</f>
        <v>Abrir facsímil</v>
      </c>
      <c r="K1340" s="3" t="s">
        <v>67</v>
      </c>
    </row>
    <row r="1341" spans="1:11" ht="42" customHeight="1">
      <c r="A1341" s="2" t="s">
        <v>3428</v>
      </c>
      <c r="B1341" s="2" t="s">
        <v>3428</v>
      </c>
      <c r="C1341" s="2" t="s">
        <v>17</v>
      </c>
      <c r="D1341" s="2" t="s">
        <v>18</v>
      </c>
      <c r="E1341" s="5">
        <v>-29530</v>
      </c>
      <c r="F1341" s="3" t="s">
        <v>202</v>
      </c>
      <c r="G1341" s="3" t="s">
        <v>20</v>
      </c>
      <c r="H1341" s="2" t="s">
        <v>65</v>
      </c>
      <c r="I1341" s="2" t="s">
        <v>3430</v>
      </c>
      <c r="J1341" s="3" t="str">
        <f>HYPERLINK("https://www.boe.es/gazeta/dias/1819/02/23/pdfs/GMD-1819-23.pdf#page=10","Abrir facsímil")</f>
        <v>Abrir facsímil</v>
      </c>
      <c r="K1341" s="3" t="s">
        <v>67</v>
      </c>
    </row>
    <row r="1342" spans="1:11" ht="42" customHeight="1">
      <c r="A1342" s="2" t="s">
        <v>3428</v>
      </c>
      <c r="B1342" s="2" t="s">
        <v>3428</v>
      </c>
      <c r="C1342" s="2" t="s">
        <v>63</v>
      </c>
      <c r="D1342" s="2" t="s">
        <v>43</v>
      </c>
      <c r="E1342" s="5">
        <v>-29523</v>
      </c>
      <c r="F1342" s="3" t="s">
        <v>436</v>
      </c>
      <c r="G1342" s="3" t="s">
        <v>33</v>
      </c>
      <c r="H1342" s="2" t="s">
        <v>65</v>
      </c>
      <c r="I1342" s="2" t="s">
        <v>3431</v>
      </c>
      <c r="J1342" s="3" t="str">
        <f>HYPERLINK("https://www.boe.es/gazeta/dias/1819/03/02/pdfs/GMD-1819-26.pdf#page=6","Abrir facsímil")</f>
        <v>Abrir facsímil</v>
      </c>
      <c r="K1342" s="3" t="s">
        <v>67</v>
      </c>
    </row>
    <row r="1343" spans="1:11" ht="42" customHeight="1">
      <c r="A1343" s="2" t="s">
        <v>3428</v>
      </c>
      <c r="B1343" s="2" t="s">
        <v>3428</v>
      </c>
      <c r="C1343" s="2" t="s">
        <v>80</v>
      </c>
      <c r="D1343" s="2" t="s">
        <v>81</v>
      </c>
      <c r="E1343" s="5">
        <v>-29495</v>
      </c>
      <c r="F1343" s="3" t="s">
        <v>992</v>
      </c>
      <c r="G1343" s="3" t="s">
        <v>55</v>
      </c>
      <c r="H1343" s="2" t="s">
        <v>65</v>
      </c>
      <c r="I1343" s="2" t="s">
        <v>3432</v>
      </c>
      <c r="J1343" s="3" t="str">
        <f>HYPERLINK("https://www.boe.es/gazeta/dias/1819/03/30/pdfs/GMD-1819-38.pdf#page=7","Abrir facsímil")</f>
        <v>Abrir facsímil</v>
      </c>
      <c r="K1343" s="3" t="s">
        <v>67</v>
      </c>
    </row>
    <row r="1344" spans="1:11" ht="42" customHeight="1">
      <c r="A1344" s="2" t="s">
        <v>3428</v>
      </c>
      <c r="B1344" s="2" t="s">
        <v>3428</v>
      </c>
      <c r="C1344" s="2" t="s">
        <v>80</v>
      </c>
      <c r="D1344" s="2" t="s">
        <v>81</v>
      </c>
      <c r="E1344" s="5">
        <v>-29479</v>
      </c>
      <c r="F1344" s="3" t="s">
        <v>979</v>
      </c>
      <c r="G1344" s="3" t="s">
        <v>296</v>
      </c>
      <c r="H1344" s="2" t="s">
        <v>65</v>
      </c>
      <c r="I1344" s="2" t="s">
        <v>3433</v>
      </c>
      <c r="J1344" s="3" t="str">
        <f>HYPERLINK("https://www.boe.es/gazeta/dias/1819/04/15/pdfs/GMD-1819-45.pdf#page=4","Abrir facsímil")</f>
        <v>Abrir facsímil</v>
      </c>
      <c r="K1344" s="3" t="s">
        <v>67</v>
      </c>
    </row>
    <row r="1345" spans="1:11" ht="42" customHeight="1">
      <c r="A1345" s="2" t="s">
        <v>3428</v>
      </c>
      <c r="B1345" s="2" t="s">
        <v>3428</v>
      </c>
      <c r="C1345" s="2" t="s">
        <v>59</v>
      </c>
      <c r="D1345" s="2" t="s">
        <v>18</v>
      </c>
      <c r="E1345" s="5">
        <v>-29456</v>
      </c>
      <c r="F1345" s="3" t="s">
        <v>468</v>
      </c>
      <c r="G1345" s="3" t="s">
        <v>28</v>
      </c>
      <c r="H1345" s="2" t="s">
        <v>65</v>
      </c>
      <c r="I1345" s="2" t="s">
        <v>3434</v>
      </c>
      <c r="J1345" s="3" t="str">
        <f>HYPERLINK("https://www.boe.es/gazeta/dias/1819/05/08/pdfs/GMD-1819-55.pdf#page=8","Abrir facsímil")</f>
        <v>Abrir facsímil</v>
      </c>
      <c r="K1345" s="3" t="s">
        <v>67</v>
      </c>
    </row>
    <row r="1346" spans="1:11" ht="42" customHeight="1">
      <c r="A1346" s="2" t="s">
        <v>3428</v>
      </c>
      <c r="B1346" s="2" t="s">
        <v>3428</v>
      </c>
      <c r="C1346" s="2" t="s">
        <v>80</v>
      </c>
      <c r="D1346" s="2" t="s">
        <v>81</v>
      </c>
      <c r="E1346" s="5">
        <v>-29435</v>
      </c>
      <c r="F1346" s="3" t="s">
        <v>191</v>
      </c>
      <c r="G1346" s="3" t="s">
        <v>33</v>
      </c>
      <c r="H1346" s="2" t="s">
        <v>65</v>
      </c>
      <c r="I1346" s="2" t="s">
        <v>3435</v>
      </c>
      <c r="J1346" s="3" t="str">
        <f>HYPERLINK("https://www.boe.es/gazeta/dias/1819/05/29/pdfs/GMD-1819-64.pdf#page=6","Abrir facsímil")</f>
        <v>Abrir facsímil</v>
      </c>
      <c r="K1346" s="3" t="s">
        <v>67</v>
      </c>
    </row>
    <row r="1347" spans="1:11" ht="42" customHeight="1">
      <c r="A1347" s="2" t="s">
        <v>3428</v>
      </c>
      <c r="B1347" s="2" t="s">
        <v>3428</v>
      </c>
      <c r="C1347" s="2" t="s">
        <v>246</v>
      </c>
      <c r="D1347" s="2" t="s">
        <v>18</v>
      </c>
      <c r="E1347" s="5">
        <v>-29432</v>
      </c>
      <c r="F1347" s="3" t="s">
        <v>1967</v>
      </c>
      <c r="G1347" s="3" t="s">
        <v>55</v>
      </c>
      <c r="H1347" s="2" t="s">
        <v>65</v>
      </c>
      <c r="I1347" s="2" t="s">
        <v>3436</v>
      </c>
      <c r="J1347" s="3" t="str">
        <f>HYPERLINK("https://www.boe.es/gazeta/dias/1819/06/01/pdfs/GMD-1819-65.pdf#page=7","Abrir facsímil")</f>
        <v>Abrir facsímil</v>
      </c>
      <c r="K1347" s="3" t="s">
        <v>67</v>
      </c>
    </row>
    <row r="1348" spans="1:11" ht="42" customHeight="1">
      <c r="A1348" s="2" t="s">
        <v>3428</v>
      </c>
      <c r="B1348" s="2" t="s">
        <v>3428</v>
      </c>
      <c r="C1348" s="2" t="s">
        <v>63</v>
      </c>
      <c r="D1348" s="2" t="s">
        <v>454</v>
      </c>
      <c r="E1348" s="5">
        <v>-29419</v>
      </c>
      <c r="F1348" s="3" t="s">
        <v>1491</v>
      </c>
      <c r="G1348" s="3" t="s">
        <v>239</v>
      </c>
      <c r="H1348" s="2" t="s">
        <v>65</v>
      </c>
      <c r="I1348" s="2" t="s">
        <v>3437</v>
      </c>
      <c r="J1348" s="3" t="str">
        <f>HYPERLINK("https://www.boe.es/gazeta/dias/1819/06/14/pdfs/GMD-1819-71E.pdf#page=1","Abrir facsímil")</f>
        <v>Abrir facsímil</v>
      </c>
      <c r="K1348" s="3" t="s">
        <v>67</v>
      </c>
    </row>
    <row r="1349" spans="1:11" ht="42" customHeight="1">
      <c r="A1349" s="2" t="s">
        <v>3428</v>
      </c>
      <c r="B1349" s="2" t="s">
        <v>3428</v>
      </c>
      <c r="C1349" s="2" t="s">
        <v>59</v>
      </c>
      <c r="D1349" s="2" t="s">
        <v>454</v>
      </c>
      <c r="E1349" s="5">
        <v>-29419</v>
      </c>
      <c r="F1349" s="3" t="s">
        <v>1491</v>
      </c>
      <c r="G1349" s="3" t="s">
        <v>102</v>
      </c>
      <c r="H1349" s="2" t="s">
        <v>65</v>
      </c>
      <c r="I1349" s="2" t="s">
        <v>3438</v>
      </c>
      <c r="J1349" s="3" t="str">
        <f>HYPERLINK("https://www.boe.es/gazeta/dias/1819/06/14/pdfs/GMD-1819-71E.pdf#page=3","Abrir facsímil")</f>
        <v>Abrir facsímil</v>
      </c>
      <c r="K1349" s="3" t="s">
        <v>67</v>
      </c>
    </row>
    <row r="1350" spans="1:11" ht="42" customHeight="1">
      <c r="A1350" s="2" t="s">
        <v>3428</v>
      </c>
      <c r="B1350" s="2" t="s">
        <v>3428</v>
      </c>
      <c r="C1350" s="2" t="s">
        <v>80</v>
      </c>
      <c r="D1350" s="2" t="s">
        <v>81</v>
      </c>
      <c r="E1350" s="5">
        <v>-29362</v>
      </c>
      <c r="F1350" s="3" t="s">
        <v>803</v>
      </c>
      <c r="G1350" s="3" t="s">
        <v>55</v>
      </c>
      <c r="H1350" s="2" t="s">
        <v>65</v>
      </c>
      <c r="I1350" s="2" t="s">
        <v>3439</v>
      </c>
      <c r="J1350" s="3" t="str">
        <f>HYPERLINK("https://www.boe.es/gazeta/dias/1819/08/10/pdfs/GMD-1819-96.pdf#page=7","Abrir facsímil")</f>
        <v>Abrir facsímil</v>
      </c>
      <c r="K1350" s="3" t="s">
        <v>67</v>
      </c>
    </row>
    <row r="1351" spans="1:11" ht="42" customHeight="1">
      <c r="A1351" s="2" t="s">
        <v>3428</v>
      </c>
      <c r="B1351" s="2" t="s">
        <v>3428</v>
      </c>
      <c r="C1351" s="2" t="s">
        <v>59</v>
      </c>
      <c r="D1351" s="2" t="s">
        <v>454</v>
      </c>
      <c r="E1351" s="5">
        <v>-29287</v>
      </c>
      <c r="F1351" s="3" t="s">
        <v>455</v>
      </c>
      <c r="G1351" s="3" t="s">
        <v>20</v>
      </c>
      <c r="H1351" s="2" t="s">
        <v>65</v>
      </c>
      <c r="I1351" s="2" t="s">
        <v>3440</v>
      </c>
      <c r="J1351" s="3" t="str">
        <f>HYPERLINK("https://www.boe.es/gazeta/dias/1819/10/24/pdfs/GMD-1819-131E.pdf#page=10","Abrir facsímil")</f>
        <v>Abrir facsímil</v>
      </c>
      <c r="K1351" s="3" t="s">
        <v>67</v>
      </c>
    </row>
    <row r="1352" spans="1:11" ht="42" customHeight="1">
      <c r="A1352" s="2" t="s">
        <v>3428</v>
      </c>
      <c r="B1352" s="2" t="s">
        <v>3428</v>
      </c>
      <c r="C1352" s="2" t="s">
        <v>63</v>
      </c>
      <c r="D1352" s="2" t="s">
        <v>43</v>
      </c>
      <c r="E1352" s="5">
        <v>-29283</v>
      </c>
      <c r="F1352" s="3" t="s">
        <v>863</v>
      </c>
      <c r="G1352" s="3" t="s">
        <v>55</v>
      </c>
      <c r="H1352" s="2" t="s">
        <v>65</v>
      </c>
      <c r="I1352" s="2" t="s">
        <v>3441</v>
      </c>
      <c r="J1352" s="3" t="str">
        <f>HYPERLINK("https://www.boe.es/gazeta/dias/1819/10/28/pdfs/GMD-1819-133.pdf#page=7","Abrir facsímil")</f>
        <v>Abrir facsímil</v>
      </c>
      <c r="K1352" s="3" t="s">
        <v>67</v>
      </c>
    </row>
    <row r="1353" spans="1:11" ht="42" customHeight="1">
      <c r="A1353" s="2" t="s">
        <v>3428</v>
      </c>
      <c r="B1353" s="2" t="s">
        <v>3428</v>
      </c>
      <c r="C1353" s="2" t="s">
        <v>17</v>
      </c>
      <c r="D1353" s="2" t="s">
        <v>18</v>
      </c>
      <c r="E1353" s="5">
        <v>-29281</v>
      </c>
      <c r="F1353" s="3" t="s">
        <v>19</v>
      </c>
      <c r="G1353" s="3" t="s">
        <v>20</v>
      </c>
      <c r="H1353" s="2" t="s">
        <v>65</v>
      </c>
      <c r="I1353" s="2" t="s">
        <v>3442</v>
      </c>
      <c r="J1353" s="3" t="str">
        <f>HYPERLINK("https://www.boe.es/gazeta/dias/1819/10/30/pdfs/GMD-1819-134.pdf#page=10","Abrir facsímil")</f>
        <v>Abrir facsímil</v>
      </c>
      <c r="K1353" s="3" t="s">
        <v>67</v>
      </c>
    </row>
    <row r="1354" spans="1:11" ht="42" customHeight="1">
      <c r="A1354" s="2" t="s">
        <v>3428</v>
      </c>
      <c r="B1354" s="2" t="s">
        <v>3428</v>
      </c>
      <c r="C1354" s="2" t="s">
        <v>80</v>
      </c>
      <c r="D1354" s="2" t="s">
        <v>81</v>
      </c>
      <c r="E1354" s="5">
        <v>-29253</v>
      </c>
      <c r="F1354" s="3" t="s">
        <v>242</v>
      </c>
      <c r="G1354" s="3" t="s">
        <v>1048</v>
      </c>
      <c r="H1354" s="2" t="s">
        <v>65</v>
      </c>
      <c r="I1354" s="2" t="s">
        <v>3443</v>
      </c>
      <c r="J1354" s="3" t="str">
        <f>HYPERLINK("https://www.boe.es/gazeta/dias/1819/11/27/pdfs/GMD-1819-146.pdf#page=5","Abrir facsímil")</f>
        <v>Abrir facsímil</v>
      </c>
      <c r="K1354" s="3" t="s">
        <v>67</v>
      </c>
    </row>
    <row r="1355" spans="1:11" ht="42" customHeight="1">
      <c r="A1355" s="2" t="s">
        <v>3444</v>
      </c>
      <c r="B1355" s="2" t="s">
        <v>3445</v>
      </c>
      <c r="C1355" s="2" t="s">
        <v>215</v>
      </c>
      <c r="D1355" s="2" t="s">
        <v>18</v>
      </c>
      <c r="E1355" s="5">
        <v>-29519</v>
      </c>
      <c r="F1355" s="3" t="s">
        <v>142</v>
      </c>
      <c r="G1355" s="3" t="s">
        <v>143</v>
      </c>
      <c r="H1355" s="2" t="s">
        <v>65</v>
      </c>
      <c r="I1355" s="2" t="s">
        <v>3446</v>
      </c>
      <c r="J1355" s="3" t="str">
        <f>HYPERLINK("https://www.boe.es/gazeta/dias/1819/03/06/pdfs/GMD-1819-28.pdf#page=7","Abrir facsímil")</f>
        <v>Abrir facsímil</v>
      </c>
      <c r="K1355" s="3" t="s">
        <v>67</v>
      </c>
    </row>
    <row r="1356" spans="1:11" ht="42" customHeight="1">
      <c r="A1356" s="2" t="s">
        <v>3447</v>
      </c>
      <c r="B1356" s="2" t="s">
        <v>3448</v>
      </c>
      <c r="C1356" s="2" t="s">
        <v>80</v>
      </c>
      <c r="D1356" s="2" t="s">
        <v>81</v>
      </c>
      <c r="E1356" s="5">
        <v>-29575</v>
      </c>
      <c r="F1356" s="3" t="s">
        <v>77</v>
      </c>
      <c r="G1356" s="3" t="s">
        <v>296</v>
      </c>
      <c r="H1356" s="2" t="s">
        <v>65</v>
      </c>
      <c r="I1356" s="2" t="s">
        <v>3449</v>
      </c>
      <c r="J1356" s="3" t="str">
        <f>HYPERLINK("https://www.boe.es/gazeta/dias/1819/01/09/pdfs/GMD-1819-4.pdf#page=4","Abrir facsímil")</f>
        <v>Abrir facsímil</v>
      </c>
      <c r="K1356" s="3" t="s">
        <v>67</v>
      </c>
    </row>
    <row r="1357" spans="1:11" ht="42" customHeight="1">
      <c r="A1357" s="2" t="s">
        <v>3450</v>
      </c>
      <c r="B1357" s="2" t="s">
        <v>3450</v>
      </c>
      <c r="C1357" s="2" t="s">
        <v>80</v>
      </c>
      <c r="D1357" s="2" t="s">
        <v>81</v>
      </c>
      <c r="E1357" s="5">
        <v>-29463</v>
      </c>
      <c r="F1357" s="3" t="s">
        <v>114</v>
      </c>
      <c r="G1357" s="3" t="s">
        <v>33</v>
      </c>
      <c r="H1357" s="2" t="s">
        <v>65</v>
      </c>
      <c r="I1357" s="2" t="s">
        <v>3451</v>
      </c>
      <c r="J1357" s="3" t="str">
        <f>HYPERLINK("https://www.boe.es/gazeta/dias/1819/05/01/pdfs/GMD-1819-52.pdf#page=6","Abrir facsímil")</f>
        <v>Abrir facsímil</v>
      </c>
      <c r="K1357" s="3" t="s">
        <v>67</v>
      </c>
    </row>
    <row r="1358" spans="1:11" ht="42" customHeight="1">
      <c r="A1358" s="2" t="s">
        <v>3452</v>
      </c>
      <c r="B1358" s="2" t="s">
        <v>3452</v>
      </c>
      <c r="C1358" s="2" t="s">
        <v>59</v>
      </c>
      <c r="D1358" s="2" t="s">
        <v>18</v>
      </c>
      <c r="E1358" s="5">
        <v>-29386</v>
      </c>
      <c r="F1358" s="3" t="s">
        <v>568</v>
      </c>
      <c r="G1358" s="3" t="s">
        <v>33</v>
      </c>
      <c r="H1358" s="2" t="s">
        <v>65</v>
      </c>
      <c r="I1358" s="2" t="s">
        <v>3453</v>
      </c>
      <c r="J1358" s="3" t="str">
        <f>HYPERLINK("https://www.boe.es/gazeta/dias/1819/07/17/pdfs/GMD-1819-86.pdf#page=6","Abrir facsímil")</f>
        <v>Abrir facsímil</v>
      </c>
      <c r="K1358" s="3" t="s">
        <v>67</v>
      </c>
    </row>
    <row r="1359" spans="1:11" ht="42" customHeight="1">
      <c r="A1359" s="2" t="s">
        <v>3454</v>
      </c>
      <c r="B1359" s="2" t="s">
        <v>3455</v>
      </c>
      <c r="C1359" s="2" t="s">
        <v>80</v>
      </c>
      <c r="D1359" s="2" t="s">
        <v>81</v>
      </c>
      <c r="E1359" s="5">
        <v>-29260</v>
      </c>
      <c r="F1359" s="3" t="s">
        <v>93</v>
      </c>
      <c r="G1359" s="3" t="s">
        <v>94</v>
      </c>
      <c r="H1359" s="2" t="s">
        <v>65</v>
      </c>
      <c r="I1359" s="2" t="s">
        <v>3456</v>
      </c>
      <c r="J1359" s="3" t="str">
        <f>HYPERLINK("https://www.boe.es/gazeta/dias/1819/11/20/pdfs/GMD-1819-143.pdf#page=11","Abrir facsímil")</f>
        <v>Abrir facsímil</v>
      </c>
      <c r="K1359" s="3" t="s">
        <v>67</v>
      </c>
    </row>
    <row r="1360" spans="1:11" ht="42" customHeight="1">
      <c r="A1360" s="2" t="s">
        <v>3457</v>
      </c>
      <c r="B1360" s="2" t="s">
        <v>3458</v>
      </c>
      <c r="C1360" s="2" t="s">
        <v>59</v>
      </c>
      <c r="D1360" s="2" t="s">
        <v>18</v>
      </c>
      <c r="E1360" s="5">
        <v>-29292</v>
      </c>
      <c r="F1360" s="3" t="s">
        <v>875</v>
      </c>
      <c r="G1360" s="3" t="s">
        <v>28</v>
      </c>
      <c r="H1360" s="2" t="s">
        <v>65</v>
      </c>
      <c r="I1360" s="2" t="s">
        <v>3459</v>
      </c>
      <c r="J1360" s="3" t="str">
        <f>HYPERLINK("https://www.boe.es/gazeta/dias/1819/10/19/pdfs/GMD-1819-128.pdf#page=8","Abrir facsímil")</f>
        <v>Abrir facsímil</v>
      </c>
      <c r="K1360" s="3" t="s">
        <v>67</v>
      </c>
    </row>
    <row r="1361" spans="1:11" ht="42" customHeight="1">
      <c r="A1361" s="2" t="s">
        <v>3460</v>
      </c>
      <c r="B1361" s="2" t="s">
        <v>3461</v>
      </c>
      <c r="C1361" s="2" t="s">
        <v>26</v>
      </c>
      <c r="D1361" s="2" t="s">
        <v>18</v>
      </c>
      <c r="E1361" s="5">
        <v>-29227</v>
      </c>
      <c r="F1361" s="3" t="s">
        <v>98</v>
      </c>
      <c r="G1361" s="3" t="s">
        <v>1790</v>
      </c>
      <c r="H1361" s="2" t="s">
        <v>65</v>
      </c>
      <c r="I1361" s="2" t="s">
        <v>3462</v>
      </c>
      <c r="J1361" s="3" t="str">
        <f>HYPERLINK("https://www.boe.es/gazeta/dias/1819/12/23/pdfs/GMD-1819-157.pdf#page=8","Abrir facsímil")</f>
        <v>Abrir facsímil</v>
      </c>
      <c r="K1361" s="3" t="s">
        <v>67</v>
      </c>
    </row>
    <row r="1362" spans="1:11" ht="42" customHeight="1">
      <c r="A1362" s="2" t="s">
        <v>3463</v>
      </c>
      <c r="B1362" s="2" t="s">
        <v>3464</v>
      </c>
      <c r="C1362" s="2" t="s">
        <v>26</v>
      </c>
      <c r="D1362" s="2" t="s">
        <v>18</v>
      </c>
      <c r="E1362" s="5">
        <v>-29430</v>
      </c>
      <c r="F1362" s="3" t="s">
        <v>178</v>
      </c>
      <c r="G1362" s="3" t="s">
        <v>33</v>
      </c>
      <c r="H1362" s="2" t="s">
        <v>65</v>
      </c>
      <c r="I1362" s="2" t="s">
        <v>3465</v>
      </c>
      <c r="J1362" s="3" t="str">
        <f>HYPERLINK("https://www.boe.es/gazeta/dias/1819/06/03/pdfs/GMD-1819-66.pdf#page=6","Abrir facsímil")</f>
        <v>Abrir facsímil</v>
      </c>
      <c r="K1362" s="3" t="s">
        <v>67</v>
      </c>
    </row>
    <row r="1363" spans="1:11" ht="42" customHeight="1">
      <c r="A1363" s="2" t="s">
        <v>3466</v>
      </c>
      <c r="B1363" s="2" t="s">
        <v>3466</v>
      </c>
      <c r="C1363" s="2" t="s">
        <v>80</v>
      </c>
      <c r="D1363" s="2" t="s">
        <v>81</v>
      </c>
      <c r="E1363" s="5">
        <v>-29257</v>
      </c>
      <c r="F1363" s="3" t="s">
        <v>73</v>
      </c>
      <c r="G1363" s="3" t="s">
        <v>2812</v>
      </c>
      <c r="H1363" s="2" t="s">
        <v>65</v>
      </c>
      <c r="I1363" s="2" t="s">
        <v>3467</v>
      </c>
      <c r="J1363" s="3" t="str">
        <f>HYPERLINK("https://www.boe.es/gazeta/dias/1819/11/23/pdfs/GMD-1819-144.pdf#page=4","Abrir facsímil")</f>
        <v>Abrir facsímil</v>
      </c>
      <c r="K1363" s="3" t="s">
        <v>67</v>
      </c>
    </row>
    <row r="1364" spans="1:11" ht="42" customHeight="1">
      <c r="A1364" s="2" t="s">
        <v>3468</v>
      </c>
      <c r="B1364" s="2" t="s">
        <v>3468</v>
      </c>
      <c r="C1364" s="2" t="s">
        <v>246</v>
      </c>
      <c r="D1364" s="2" t="s">
        <v>18</v>
      </c>
      <c r="E1364" s="5">
        <v>-29283</v>
      </c>
      <c r="F1364" s="3" t="s">
        <v>863</v>
      </c>
      <c r="G1364" s="3" t="s">
        <v>259</v>
      </c>
      <c r="H1364" s="2" t="s">
        <v>65</v>
      </c>
      <c r="I1364" s="2" t="s">
        <v>3469</v>
      </c>
      <c r="J1364" s="3" t="str">
        <f>HYPERLINK("https://www.boe.es/gazeta/dias/1819/10/28/pdfs/GMD-1819-133.pdf#page=2","Abrir facsímil")</f>
        <v>Abrir facsímil</v>
      </c>
      <c r="K1364" s="3" t="s">
        <v>67</v>
      </c>
    </row>
    <row r="1365" spans="1:11" ht="42" customHeight="1">
      <c r="A1365" s="2" t="s">
        <v>3470</v>
      </c>
      <c r="B1365" s="2" t="s">
        <v>3471</v>
      </c>
      <c r="C1365" s="2" t="s">
        <v>215</v>
      </c>
      <c r="D1365" s="2" t="s">
        <v>18</v>
      </c>
      <c r="E1365" s="5">
        <v>-29575</v>
      </c>
      <c r="F1365" s="3" t="s">
        <v>77</v>
      </c>
      <c r="G1365" s="3" t="s">
        <v>55</v>
      </c>
      <c r="H1365" s="2" t="s">
        <v>65</v>
      </c>
      <c r="I1365" s="2" t="s">
        <v>3472</v>
      </c>
      <c r="J1365" s="3" t="str">
        <f>HYPERLINK("https://www.boe.es/gazeta/dias/1819/01/09/pdfs/GMD-1819-4.pdf#page=7","Abrir facsímil")</f>
        <v>Abrir facsímil</v>
      </c>
      <c r="K1365" s="3" t="s">
        <v>67</v>
      </c>
    </row>
    <row r="1366" spans="1:11" ht="42" customHeight="1">
      <c r="A1366" s="2" t="s">
        <v>3473</v>
      </c>
      <c r="B1366" s="2" t="s">
        <v>3474</v>
      </c>
      <c r="C1366" s="2" t="s">
        <v>215</v>
      </c>
      <c r="D1366" s="2" t="s">
        <v>18</v>
      </c>
      <c r="E1366" s="5">
        <v>-29575</v>
      </c>
      <c r="F1366" s="3" t="s">
        <v>77</v>
      </c>
      <c r="G1366" s="3" t="s">
        <v>55</v>
      </c>
      <c r="H1366" s="2" t="s">
        <v>65</v>
      </c>
      <c r="I1366" s="2" t="s">
        <v>3475</v>
      </c>
      <c r="J1366" s="3" t="str">
        <f>HYPERLINK("https://www.boe.es/gazeta/dias/1819/01/09/pdfs/GMD-1819-4.pdf#page=7","Abrir facsímil")</f>
        <v>Abrir facsímil</v>
      </c>
      <c r="K1366" s="3" t="s">
        <v>67</v>
      </c>
    </row>
    <row r="1367" spans="1:11" ht="42" customHeight="1">
      <c r="A1367" s="2" t="s">
        <v>3476</v>
      </c>
      <c r="B1367" s="2" t="s">
        <v>3477</v>
      </c>
      <c r="C1367" s="2" t="s">
        <v>80</v>
      </c>
      <c r="D1367" s="2" t="s">
        <v>81</v>
      </c>
      <c r="E1367" s="5">
        <v>-29274</v>
      </c>
      <c r="F1367" s="3" t="s">
        <v>247</v>
      </c>
      <c r="G1367" s="3" t="s">
        <v>33</v>
      </c>
      <c r="H1367" s="2" t="s">
        <v>65</v>
      </c>
      <c r="I1367" s="2" t="s">
        <v>3478</v>
      </c>
      <c r="J1367" s="3" t="str">
        <f>HYPERLINK("https://www.boe.es/gazeta/dias/1819/11/06/pdfs/GMD-1819-137.pdf#page=6","Abrir facsímil")</f>
        <v>Abrir facsímil</v>
      </c>
      <c r="K1367" s="3" t="s">
        <v>67</v>
      </c>
    </row>
    <row r="1368" spans="1:11" ht="42" customHeight="1">
      <c r="A1368" s="2" t="s">
        <v>3479</v>
      </c>
      <c r="B1368" s="2" t="s">
        <v>3480</v>
      </c>
      <c r="C1368" s="2" t="s">
        <v>63</v>
      </c>
      <c r="D1368" s="2" t="s">
        <v>43</v>
      </c>
      <c r="E1368" s="5">
        <v>-29304</v>
      </c>
      <c r="F1368" s="3" t="s">
        <v>519</v>
      </c>
      <c r="G1368" s="3" t="s">
        <v>55</v>
      </c>
      <c r="H1368" s="2" t="s">
        <v>65</v>
      </c>
      <c r="I1368" s="2" t="s">
        <v>3481</v>
      </c>
      <c r="J1368" s="3" t="str">
        <f>HYPERLINK("https://www.boe.es/gazeta/dias/1819/10/07/pdfs/GMD-1819-123.pdf#page=7","Abrir facsímil")</f>
        <v>Abrir facsímil</v>
      </c>
      <c r="K1368" s="3" t="s">
        <v>67</v>
      </c>
    </row>
    <row r="1369" spans="1:11" ht="42" customHeight="1">
      <c r="A1369" s="2" t="s">
        <v>3482</v>
      </c>
      <c r="B1369" s="2" t="s">
        <v>3482</v>
      </c>
      <c r="C1369" s="2" t="s">
        <v>80</v>
      </c>
      <c r="D1369" s="2" t="s">
        <v>81</v>
      </c>
      <c r="E1369" s="5">
        <v>-29542</v>
      </c>
      <c r="F1369" s="3" t="s">
        <v>607</v>
      </c>
      <c r="G1369" s="3" t="s">
        <v>239</v>
      </c>
      <c r="H1369" s="2" t="s">
        <v>65</v>
      </c>
      <c r="I1369" s="2" t="s">
        <v>3483</v>
      </c>
      <c r="J1369" s="3" t="str">
        <f>HYPERLINK("https://www.boe.es/gazeta/dias/1819/02/11/pdfs/GMD-1819-18.pdf#page=1","Abrir facsímil")</f>
        <v>Abrir facsímil</v>
      </c>
      <c r="K1369" s="3" t="s">
        <v>67</v>
      </c>
    </row>
    <row r="1370" spans="1:11" ht="42" customHeight="1">
      <c r="A1370" s="2" t="s">
        <v>3484</v>
      </c>
      <c r="B1370" s="2" t="s">
        <v>3485</v>
      </c>
      <c r="C1370" s="2" t="s">
        <v>80</v>
      </c>
      <c r="D1370" s="2" t="s">
        <v>81</v>
      </c>
      <c r="E1370" s="5">
        <v>-29365</v>
      </c>
      <c r="F1370" s="3" t="s">
        <v>218</v>
      </c>
      <c r="G1370" s="3" t="s">
        <v>953</v>
      </c>
      <c r="H1370" s="2" t="s">
        <v>21</v>
      </c>
      <c r="I1370" s="2" t="s">
        <v>3486</v>
      </c>
      <c r="J1370" s="3" t="str">
        <f>HYPERLINK("https://www.boe.es/gazeta/dias/1819/08/07/pdfs/GMD-1819-95.pdf#page=7","Abrir facsímil")</f>
        <v>Abrir facsímil</v>
      </c>
      <c r="K1370" s="3" t="s">
        <v>23</v>
      </c>
    </row>
    <row r="1371" spans="1:11" ht="42" customHeight="1">
      <c r="A1371" s="2" t="s">
        <v>3487</v>
      </c>
      <c r="B1371" s="2" t="s">
        <v>3488</v>
      </c>
      <c r="C1371" s="2" t="s">
        <v>80</v>
      </c>
      <c r="D1371" s="2" t="s">
        <v>81</v>
      </c>
      <c r="E1371" s="5">
        <v>-29337</v>
      </c>
      <c r="F1371" s="3" t="s">
        <v>1098</v>
      </c>
      <c r="G1371" s="3" t="s">
        <v>28</v>
      </c>
      <c r="H1371" s="2" t="s">
        <v>21</v>
      </c>
      <c r="I1371" s="2" t="s">
        <v>3489</v>
      </c>
      <c r="J1371" s="3" t="str">
        <f>HYPERLINK("https://www.boe.es/gazeta/dias/1819/09/04/pdfs/GMD-1819-108.pdf#page=8","Abrir facsímil")</f>
        <v>Abrir facsímil</v>
      </c>
      <c r="K1371" s="3" t="s">
        <v>23</v>
      </c>
    </row>
    <row r="1372" spans="1:11" ht="42" customHeight="1">
      <c r="A1372" s="2" t="s">
        <v>3487</v>
      </c>
      <c r="B1372" s="2" t="s">
        <v>3488</v>
      </c>
      <c r="C1372" s="2" t="s">
        <v>80</v>
      </c>
      <c r="D1372" s="2" t="s">
        <v>454</v>
      </c>
      <c r="E1372" s="5">
        <v>-29287</v>
      </c>
      <c r="F1372" s="3" t="s">
        <v>455</v>
      </c>
      <c r="G1372" s="3" t="s">
        <v>481</v>
      </c>
      <c r="H1372" s="2" t="s">
        <v>21</v>
      </c>
      <c r="I1372" s="2" t="s">
        <v>3490</v>
      </c>
      <c r="J1372" s="3" t="str">
        <f>HYPERLINK("https://www.boe.es/gazeta/dias/1819/10/24/pdfs/GMD-1819-131E.pdf#page=8","Abrir facsímil")</f>
        <v>Abrir facsímil</v>
      </c>
      <c r="K1372" s="3" t="s">
        <v>23</v>
      </c>
    </row>
    <row r="1373" spans="1:11" ht="42" customHeight="1">
      <c r="A1373" s="2" t="s">
        <v>3491</v>
      </c>
      <c r="B1373" s="2" t="s">
        <v>3491</v>
      </c>
      <c r="C1373" s="2" t="s">
        <v>63</v>
      </c>
      <c r="D1373" s="2" t="s">
        <v>454</v>
      </c>
      <c r="E1373" s="5">
        <v>-29324</v>
      </c>
      <c r="F1373" s="3" t="s">
        <v>914</v>
      </c>
      <c r="G1373" s="3" t="s">
        <v>102</v>
      </c>
      <c r="H1373" s="2" t="s">
        <v>65</v>
      </c>
      <c r="I1373" s="2" t="s">
        <v>3492</v>
      </c>
      <c r="J1373" s="3" t="str">
        <f>HYPERLINK("https://www.boe.es/gazeta/dias/1819/09/17/pdfs/GMD-1819-114E.pdf#page=3","Abrir facsímil")</f>
        <v>Abrir facsímil</v>
      </c>
      <c r="K1373" s="3" t="s">
        <v>67</v>
      </c>
    </row>
    <row r="1374" spans="1:11" ht="42" customHeight="1">
      <c r="A1374" s="2" t="s">
        <v>3493</v>
      </c>
      <c r="B1374" s="2" t="s">
        <v>3494</v>
      </c>
      <c r="C1374" s="2" t="s">
        <v>59</v>
      </c>
      <c r="D1374" s="2" t="s">
        <v>18</v>
      </c>
      <c r="E1374" s="5">
        <v>-29236</v>
      </c>
      <c r="F1374" s="3" t="s">
        <v>379</v>
      </c>
      <c r="G1374" s="3" t="s">
        <v>55</v>
      </c>
      <c r="H1374" s="2" t="s">
        <v>65</v>
      </c>
      <c r="I1374" s="2" t="s">
        <v>3495</v>
      </c>
      <c r="J1374" s="3" t="str">
        <f>HYPERLINK("https://www.boe.es/gazeta/dias/1819/12/14/pdfs/GMD-1819-153.pdf#page=7","Abrir facsímil")</f>
        <v>Abrir facsímil</v>
      </c>
      <c r="K1374" s="3" t="s">
        <v>67</v>
      </c>
    </row>
    <row r="1375" spans="1:11" ht="42" customHeight="1">
      <c r="A1375" s="2" t="s">
        <v>3496</v>
      </c>
      <c r="B1375" s="2" t="s">
        <v>3497</v>
      </c>
      <c r="C1375" s="2" t="s">
        <v>17</v>
      </c>
      <c r="D1375" s="2" t="s">
        <v>18</v>
      </c>
      <c r="E1375" s="5">
        <v>-29351</v>
      </c>
      <c r="F1375" s="3" t="s">
        <v>101</v>
      </c>
      <c r="G1375" s="3" t="s">
        <v>28</v>
      </c>
      <c r="H1375" s="2" t="s">
        <v>65</v>
      </c>
      <c r="I1375" s="2" t="s">
        <v>3498</v>
      </c>
      <c r="J1375" s="3" t="str">
        <f>HYPERLINK("https://www.boe.es/gazeta/dias/1819/08/21/pdfs/GMD-1819-101.pdf#page=8","Abrir facsímil")</f>
        <v>Abrir facsímil</v>
      </c>
      <c r="K1375" s="3" t="s">
        <v>67</v>
      </c>
    </row>
    <row r="1376" spans="1:11" ht="42" customHeight="1">
      <c r="A1376" s="2" t="s">
        <v>3499</v>
      </c>
      <c r="B1376" s="2" t="s">
        <v>3500</v>
      </c>
      <c r="C1376" s="2" t="s">
        <v>26</v>
      </c>
      <c r="D1376" s="2" t="s">
        <v>18</v>
      </c>
      <c r="E1376" s="5">
        <v>-29369</v>
      </c>
      <c r="F1376" s="3" t="s">
        <v>231</v>
      </c>
      <c r="G1376" s="3" t="s">
        <v>232</v>
      </c>
      <c r="H1376" s="2" t="s">
        <v>65</v>
      </c>
      <c r="I1376" s="2" t="s">
        <v>3501</v>
      </c>
      <c r="J1376" s="3" t="str">
        <f>HYPERLINK("https://www.boe.es/gazeta/dias/1819/08/03/pdfs/GMD-1819-93.pdf#page=5","Abrir facsímil")</f>
        <v>Abrir facsímil</v>
      </c>
      <c r="K1376" s="3" t="s">
        <v>67</v>
      </c>
    </row>
    <row r="1377" spans="1:11" ht="42" customHeight="1">
      <c r="A1377" s="2" t="s">
        <v>3502</v>
      </c>
      <c r="B1377" s="2" t="s">
        <v>3503</v>
      </c>
      <c r="C1377" s="2" t="s">
        <v>80</v>
      </c>
      <c r="D1377" s="2" t="s">
        <v>81</v>
      </c>
      <c r="E1377" s="5">
        <v>-29255</v>
      </c>
      <c r="F1377" s="3" t="s">
        <v>357</v>
      </c>
      <c r="G1377" s="3" t="s">
        <v>38</v>
      </c>
      <c r="H1377" s="2" t="s">
        <v>21</v>
      </c>
      <c r="I1377" s="2" t="s">
        <v>3504</v>
      </c>
      <c r="J1377" s="3" t="str">
        <f>HYPERLINK("https://www.boe.es/gazeta/dias/1819/11/25/pdfs/GMD-1819-145.pdf#page=5","Abrir facsímil")</f>
        <v>Abrir facsímil</v>
      </c>
      <c r="K1377" s="3" t="s">
        <v>23</v>
      </c>
    </row>
    <row r="1378" spans="1:11" ht="42" customHeight="1">
      <c r="A1378" s="2" t="s">
        <v>3505</v>
      </c>
      <c r="B1378" s="2" t="s">
        <v>3505</v>
      </c>
      <c r="C1378" s="2" t="s">
        <v>63</v>
      </c>
      <c r="D1378" s="2" t="s">
        <v>43</v>
      </c>
      <c r="E1378" s="5">
        <v>-29414</v>
      </c>
      <c r="F1378" s="3" t="s">
        <v>732</v>
      </c>
      <c r="G1378" s="3" t="s">
        <v>259</v>
      </c>
      <c r="H1378" s="2" t="s">
        <v>65</v>
      </c>
      <c r="I1378" s="2" t="s">
        <v>3506</v>
      </c>
      <c r="J1378" s="3" t="str">
        <f>HYPERLINK("https://www.boe.es/gazeta/dias/1819/06/19/pdfs/GMD-1819-74.pdf#page=2","Abrir facsímil")</f>
        <v>Abrir facsímil</v>
      </c>
      <c r="K1378" s="3" t="s">
        <v>67</v>
      </c>
    </row>
    <row r="1379" spans="1:11" ht="42" customHeight="1">
      <c r="A1379" s="2" t="s">
        <v>3507</v>
      </c>
      <c r="B1379" s="2" t="s">
        <v>3508</v>
      </c>
      <c r="C1379" s="2" t="s">
        <v>215</v>
      </c>
      <c r="D1379" s="2" t="s">
        <v>18</v>
      </c>
      <c r="E1379" s="5">
        <v>-29442</v>
      </c>
      <c r="F1379" s="3" t="s">
        <v>427</v>
      </c>
      <c r="G1379" s="3" t="s">
        <v>28</v>
      </c>
      <c r="H1379" s="2" t="s">
        <v>65</v>
      </c>
      <c r="I1379" s="2" t="s">
        <v>3509</v>
      </c>
      <c r="J1379" s="3" t="str">
        <f>HYPERLINK("https://www.boe.es/gazeta/dias/1819/05/22/pdfs/GMD-1819-61.pdf#page=8","Abrir facsímil")</f>
        <v>Abrir facsímil</v>
      </c>
      <c r="K1379" s="3" t="s">
        <v>67</v>
      </c>
    </row>
    <row r="1380" spans="1:11" ht="42" customHeight="1">
      <c r="A1380" s="2" t="s">
        <v>3510</v>
      </c>
      <c r="B1380" s="2" t="s">
        <v>3511</v>
      </c>
      <c r="C1380" s="2" t="s">
        <v>136</v>
      </c>
      <c r="D1380" s="2" t="s">
        <v>18</v>
      </c>
      <c r="E1380" s="5">
        <v>-29439</v>
      </c>
      <c r="F1380" s="3" t="s">
        <v>1101</v>
      </c>
      <c r="G1380" s="3" t="s">
        <v>33</v>
      </c>
      <c r="H1380" s="2" t="s">
        <v>65</v>
      </c>
      <c r="I1380" s="2" t="s">
        <v>3512</v>
      </c>
      <c r="J1380" s="3" t="str">
        <f>HYPERLINK("https://www.boe.es/gazeta/dias/1819/05/25/pdfs/GMD-1819-62.pdf#page=6","Abrir facsímil")</f>
        <v>Abrir facsímil</v>
      </c>
      <c r="K1380" s="3" t="s">
        <v>67</v>
      </c>
    </row>
    <row r="1381" spans="1:11" ht="42" customHeight="1">
      <c r="A1381" s="2" t="s">
        <v>3513</v>
      </c>
      <c r="B1381" s="2" t="s">
        <v>3514</v>
      </c>
      <c r="C1381" s="2" t="s">
        <v>63</v>
      </c>
      <c r="D1381" s="2" t="s">
        <v>43</v>
      </c>
      <c r="E1381" s="5">
        <v>-29281</v>
      </c>
      <c r="F1381" s="3" t="s">
        <v>19</v>
      </c>
      <c r="G1381" s="3" t="s">
        <v>20</v>
      </c>
      <c r="H1381" s="2" t="s">
        <v>21</v>
      </c>
      <c r="I1381" s="2" t="s">
        <v>3515</v>
      </c>
      <c r="J1381" s="3" t="str">
        <f>HYPERLINK("https://www.boe.es/gazeta/dias/1819/10/30/pdfs/GMD-1819-134.pdf#page=10","Abrir facsímil")</f>
        <v>Abrir facsímil</v>
      </c>
      <c r="K1381" s="3" t="s">
        <v>23</v>
      </c>
    </row>
    <row r="1382" spans="1:11" ht="42" customHeight="1">
      <c r="A1382" s="2" t="s">
        <v>3516</v>
      </c>
      <c r="B1382" s="2" t="s">
        <v>3517</v>
      </c>
      <c r="C1382" s="2" t="s">
        <v>17</v>
      </c>
      <c r="D1382" s="2" t="s">
        <v>18</v>
      </c>
      <c r="E1382" s="5">
        <v>-29229</v>
      </c>
      <c r="F1382" s="3" t="s">
        <v>44</v>
      </c>
      <c r="G1382" s="3" t="s">
        <v>296</v>
      </c>
      <c r="H1382" s="2" t="s">
        <v>21</v>
      </c>
      <c r="I1382" s="2" t="s">
        <v>3518</v>
      </c>
      <c r="J1382" s="3" t="str">
        <f>HYPERLINK("https://www.boe.es/gazeta/dias/1819/12/21/pdfs/GMD-1819-156.pdf#page=4","Abrir facsímil")</f>
        <v>Abrir facsímil</v>
      </c>
      <c r="K1382" s="3" t="s">
        <v>23</v>
      </c>
    </row>
    <row r="1383" spans="1:11" ht="42" customHeight="1">
      <c r="A1383" s="2" t="s">
        <v>3519</v>
      </c>
      <c r="B1383" s="2" t="s">
        <v>3520</v>
      </c>
      <c r="C1383" s="2" t="s">
        <v>17</v>
      </c>
      <c r="D1383" s="2" t="s">
        <v>18</v>
      </c>
      <c r="E1383" s="5">
        <v>-29526</v>
      </c>
      <c r="F1383" s="3" t="s">
        <v>307</v>
      </c>
      <c r="G1383" s="3" t="s">
        <v>28</v>
      </c>
      <c r="H1383" s="2" t="s">
        <v>21</v>
      </c>
      <c r="I1383" s="2" t="s">
        <v>3521</v>
      </c>
      <c r="J1383" s="3" t="str">
        <f>HYPERLINK("https://www.boe.es/gazeta/dias/1819/02/27/pdfs/GMD-1819-25.pdf#page=8","Abrir facsímil")</f>
        <v>Abrir facsímil</v>
      </c>
      <c r="K1383" s="3" t="s">
        <v>23</v>
      </c>
    </row>
    <row r="1384" spans="1:11" ht="42" customHeight="1">
      <c r="A1384" s="2" t="s">
        <v>3522</v>
      </c>
      <c r="B1384" s="2" t="s">
        <v>3523</v>
      </c>
      <c r="C1384" s="2" t="s">
        <v>26</v>
      </c>
      <c r="D1384" s="2" t="s">
        <v>18</v>
      </c>
      <c r="E1384" s="5">
        <v>-29229</v>
      </c>
      <c r="F1384" s="3" t="s">
        <v>44</v>
      </c>
      <c r="G1384" s="3" t="s">
        <v>38</v>
      </c>
      <c r="H1384" s="2" t="s">
        <v>21</v>
      </c>
      <c r="I1384" s="2" t="s">
        <v>3524</v>
      </c>
      <c r="J1384" s="3" t="str">
        <f>HYPERLINK("https://www.boe.es/gazeta/dias/1819/12/21/pdfs/GMD-1819-156.pdf#page=5","Abrir facsímil")</f>
        <v>Abrir facsímil</v>
      </c>
      <c r="K1384" s="3" t="s">
        <v>23</v>
      </c>
    </row>
    <row r="1385" spans="1:11" ht="42" customHeight="1">
      <c r="A1385" s="2" t="s">
        <v>3525</v>
      </c>
      <c r="B1385" s="2" t="s">
        <v>3526</v>
      </c>
      <c r="C1385" s="2" t="s">
        <v>17</v>
      </c>
      <c r="D1385" s="2" t="s">
        <v>18</v>
      </c>
      <c r="E1385" s="5">
        <v>-29257</v>
      </c>
      <c r="F1385" s="3" t="s">
        <v>73</v>
      </c>
      <c r="G1385" s="3" t="s">
        <v>33</v>
      </c>
      <c r="H1385" s="2" t="s">
        <v>21</v>
      </c>
      <c r="I1385" s="2" t="s">
        <v>3527</v>
      </c>
      <c r="J1385" s="3" t="str">
        <f>HYPERLINK("https://www.boe.es/gazeta/dias/1819/11/23/pdfs/GMD-1819-144.pdf#page=6","Abrir facsímil")</f>
        <v>Abrir facsímil</v>
      </c>
      <c r="K1385" s="3" t="s">
        <v>23</v>
      </c>
    </row>
    <row r="1386" spans="1:11" ht="42" customHeight="1">
      <c r="A1386" s="2" t="s">
        <v>3528</v>
      </c>
      <c r="B1386" s="2" t="s">
        <v>3529</v>
      </c>
      <c r="C1386" s="2" t="s">
        <v>42</v>
      </c>
      <c r="D1386" s="2" t="s">
        <v>43</v>
      </c>
      <c r="E1386" s="5">
        <v>-29260</v>
      </c>
      <c r="F1386" s="3" t="s">
        <v>93</v>
      </c>
      <c r="G1386" s="3" t="s">
        <v>33</v>
      </c>
      <c r="H1386" s="2" t="s">
        <v>21</v>
      </c>
      <c r="I1386" s="2" t="s">
        <v>3530</v>
      </c>
      <c r="J1386" s="3" t="str">
        <f>HYPERLINK("https://www.boe.es/gazeta/dias/1819/11/20/pdfs/GMD-1819-143.pdf#page=6","Abrir facsímil")</f>
        <v>Abrir facsímil</v>
      </c>
      <c r="K1386" s="3" t="s">
        <v>23</v>
      </c>
    </row>
    <row r="1387" spans="1:11" ht="42" customHeight="1">
      <c r="A1387" s="2" t="s">
        <v>3531</v>
      </c>
      <c r="B1387" s="2" t="s">
        <v>3532</v>
      </c>
      <c r="C1387" s="2" t="s">
        <v>17</v>
      </c>
      <c r="D1387" s="2" t="s">
        <v>18</v>
      </c>
      <c r="E1387" s="5">
        <v>-29264</v>
      </c>
      <c r="F1387" s="3" t="s">
        <v>37</v>
      </c>
      <c r="G1387" s="3" t="s">
        <v>33</v>
      </c>
      <c r="H1387" s="2" t="s">
        <v>21</v>
      </c>
      <c r="I1387" s="2" t="s">
        <v>3533</v>
      </c>
      <c r="J1387" s="3" t="str">
        <f>HYPERLINK("https://www.boe.es/gazeta/dias/1819/11/16/pdfs/GMD-1819-141.pdf#page=6","Abrir facsímil")</f>
        <v>Abrir facsímil</v>
      </c>
      <c r="K1387" s="3" t="s">
        <v>23</v>
      </c>
    </row>
    <row r="1388" spans="1:11" ht="42" customHeight="1">
      <c r="A1388" s="2" t="s">
        <v>3534</v>
      </c>
      <c r="B1388" s="2" t="s">
        <v>3535</v>
      </c>
      <c r="C1388" s="2" t="s">
        <v>63</v>
      </c>
      <c r="D1388" s="2" t="s">
        <v>43</v>
      </c>
      <c r="E1388" s="5">
        <v>-29477</v>
      </c>
      <c r="F1388" s="3" t="s">
        <v>789</v>
      </c>
      <c r="G1388" s="3" t="s">
        <v>55</v>
      </c>
      <c r="H1388" s="2" t="s">
        <v>21</v>
      </c>
      <c r="I1388" s="2" t="s">
        <v>3536</v>
      </c>
      <c r="J1388" s="3" t="str">
        <f>HYPERLINK("https://www.boe.es/gazeta/dias/1819/04/17/pdfs/GMD-1819-46.pdf#page=7","Abrir facsímil")</f>
        <v>Abrir facsímil</v>
      </c>
      <c r="K1388" s="3" t="s">
        <v>23</v>
      </c>
    </row>
    <row r="1389" spans="1:11" ht="42" customHeight="1">
      <c r="A1389" s="2" t="s">
        <v>3537</v>
      </c>
      <c r="B1389" s="2" t="s">
        <v>3538</v>
      </c>
      <c r="C1389" s="2" t="s">
        <v>80</v>
      </c>
      <c r="D1389" s="2" t="s">
        <v>81</v>
      </c>
      <c r="E1389" s="5">
        <v>-29250</v>
      </c>
      <c r="F1389" s="3" t="s">
        <v>312</v>
      </c>
      <c r="G1389" s="3" t="s">
        <v>313</v>
      </c>
      <c r="H1389" s="2" t="s">
        <v>65</v>
      </c>
      <c r="I1389" s="2" t="s">
        <v>3539</v>
      </c>
      <c r="J1389" s="3" t="str">
        <f>HYPERLINK("https://www.boe.es/gazeta/dias/1819/11/30/pdfs/GMD-1819-147.pdf#page=8","Abrir facsímil")</f>
        <v>Abrir facsímil</v>
      </c>
      <c r="K1389" s="3" t="s">
        <v>67</v>
      </c>
    </row>
    <row r="1390" spans="1:11" ht="42" customHeight="1">
      <c r="A1390" s="2" t="s">
        <v>3540</v>
      </c>
      <c r="B1390" s="2" t="s">
        <v>3541</v>
      </c>
      <c r="C1390" s="2" t="s">
        <v>17</v>
      </c>
      <c r="D1390" s="2" t="s">
        <v>18</v>
      </c>
      <c r="E1390" s="5">
        <v>-29271</v>
      </c>
      <c r="F1390" s="3" t="s">
        <v>32</v>
      </c>
      <c r="G1390" s="3" t="s">
        <v>33</v>
      </c>
      <c r="H1390" s="2" t="s">
        <v>21</v>
      </c>
      <c r="I1390" s="2" t="s">
        <v>3542</v>
      </c>
      <c r="J1390" s="3" t="str">
        <f>HYPERLINK("https://www.boe.es/gazeta/dias/1819/11/09/pdfs/GMD-1819-138.pdf#page=6","Abrir facsímil")</f>
        <v>Abrir facsímil</v>
      </c>
      <c r="K1390" s="3" t="s">
        <v>23</v>
      </c>
    </row>
    <row r="1391" spans="1:11" ht="42" customHeight="1">
      <c r="A1391" s="2" t="s">
        <v>3543</v>
      </c>
      <c r="B1391" s="2" t="s">
        <v>3543</v>
      </c>
      <c r="C1391" s="2" t="s">
        <v>59</v>
      </c>
      <c r="D1391" s="2" t="s">
        <v>18</v>
      </c>
      <c r="E1391" s="5">
        <v>-29582</v>
      </c>
      <c r="F1391" s="3" t="s">
        <v>376</v>
      </c>
      <c r="G1391" s="3" t="s">
        <v>28</v>
      </c>
      <c r="H1391" s="2" t="s">
        <v>65</v>
      </c>
      <c r="I1391" s="2" t="s">
        <v>3544</v>
      </c>
      <c r="J1391" s="3" t="str">
        <f>HYPERLINK("https://www.boe.es/gazeta/dias/1819/01/02/pdfs/GMD-1819-1.pdf#page=8","Abrir facsímil")</f>
        <v>Abrir facsímil</v>
      </c>
      <c r="K1391" s="3" t="s">
        <v>67</v>
      </c>
    </row>
    <row r="1392" spans="1:11" ht="42" customHeight="1">
      <c r="A1392" s="2" t="s">
        <v>3545</v>
      </c>
      <c r="B1392" s="2" t="s">
        <v>3546</v>
      </c>
      <c r="C1392" s="2" t="s">
        <v>63</v>
      </c>
      <c r="D1392" s="2" t="s">
        <v>43</v>
      </c>
      <c r="E1392" s="5">
        <v>-29554</v>
      </c>
      <c r="F1392" s="3" t="s">
        <v>150</v>
      </c>
      <c r="G1392" s="3" t="s">
        <v>239</v>
      </c>
      <c r="H1392" s="2" t="s">
        <v>65</v>
      </c>
      <c r="I1392" s="2" t="s">
        <v>3547</v>
      </c>
      <c r="J1392" s="3" t="str">
        <f>HYPERLINK("https://www.boe.es/gazeta/dias/1819/01/30/pdfs/GMD-1819-13.pdf#page=1","Abrir facsímil")</f>
        <v>Abrir facsímil</v>
      </c>
      <c r="K1392" s="3" t="s">
        <v>67</v>
      </c>
    </row>
    <row r="1393" spans="1:11" ht="42" customHeight="1">
      <c r="A1393" s="2" t="s">
        <v>3548</v>
      </c>
      <c r="B1393" s="2" t="s">
        <v>3549</v>
      </c>
      <c r="C1393" s="2" t="s">
        <v>26</v>
      </c>
      <c r="D1393" s="2" t="s">
        <v>18</v>
      </c>
      <c r="E1393" s="5">
        <v>-29313</v>
      </c>
      <c r="F1393" s="3" t="s">
        <v>129</v>
      </c>
      <c r="G1393" s="3" t="s">
        <v>296</v>
      </c>
      <c r="H1393" s="2" t="s">
        <v>65</v>
      </c>
      <c r="I1393" s="2" t="s">
        <v>3550</v>
      </c>
      <c r="J1393" s="3" t="str">
        <f>HYPERLINK("https://www.boe.es/gazeta/dias/1819/09/28/pdfs/GMD-1819-119.pdf#page=4","Abrir facsímil")</f>
        <v>Abrir facsímil</v>
      </c>
      <c r="K1393" s="3" t="s">
        <v>67</v>
      </c>
    </row>
    <row r="1394" spans="1:11" ht="42" customHeight="1">
      <c r="A1394" s="2" t="s">
        <v>3551</v>
      </c>
      <c r="B1394" s="2" t="s">
        <v>3552</v>
      </c>
      <c r="C1394" s="2" t="s">
        <v>59</v>
      </c>
      <c r="D1394" s="2" t="s">
        <v>18</v>
      </c>
      <c r="E1394" s="5">
        <v>-29493</v>
      </c>
      <c r="F1394" s="3" t="s">
        <v>404</v>
      </c>
      <c r="G1394" s="3" t="s">
        <v>55</v>
      </c>
      <c r="H1394" s="2" t="s">
        <v>65</v>
      </c>
      <c r="I1394" s="2" t="s">
        <v>3553</v>
      </c>
      <c r="J1394" s="3" t="str">
        <f>HYPERLINK("https://www.boe.es/gazeta/dias/1819/04/01/pdfs/GMD-1819-39.pdf#page=7","Abrir facsímil")</f>
        <v>Abrir facsímil</v>
      </c>
      <c r="K1394" s="3" t="s">
        <v>67</v>
      </c>
    </row>
    <row r="1395" spans="1:11" ht="42" customHeight="1">
      <c r="A1395" s="2" t="s">
        <v>3554</v>
      </c>
      <c r="B1395" s="2" t="s">
        <v>3555</v>
      </c>
      <c r="C1395" s="2" t="s">
        <v>59</v>
      </c>
      <c r="D1395" s="2" t="s">
        <v>18</v>
      </c>
      <c r="E1395" s="5">
        <v>-29355</v>
      </c>
      <c r="F1395" s="3" t="s">
        <v>347</v>
      </c>
      <c r="G1395" s="3" t="s">
        <v>348</v>
      </c>
      <c r="H1395" s="2" t="s">
        <v>65</v>
      </c>
      <c r="I1395" s="2" t="s">
        <v>3556</v>
      </c>
      <c r="J1395" s="3" t="str">
        <f>HYPERLINK("https://www.boe.es/gazeta/dias/1819/08/17/pdfs/GMD-1819-99.pdf#page=6","Abrir facsímil")</f>
        <v>Abrir facsímil</v>
      </c>
      <c r="K1395" s="3" t="s">
        <v>67</v>
      </c>
    </row>
    <row r="1396" spans="1:11" ht="42" customHeight="1">
      <c r="A1396" s="2" t="s">
        <v>3557</v>
      </c>
      <c r="B1396" s="2" t="s">
        <v>3558</v>
      </c>
      <c r="C1396" s="2" t="s">
        <v>59</v>
      </c>
      <c r="D1396" s="2" t="s">
        <v>18</v>
      </c>
      <c r="E1396" s="5">
        <v>-29232</v>
      </c>
      <c r="F1396" s="3" t="s">
        <v>752</v>
      </c>
      <c r="G1396" s="3" t="s">
        <v>753</v>
      </c>
      <c r="H1396" s="2" t="s">
        <v>65</v>
      </c>
      <c r="I1396" s="2" t="s">
        <v>3559</v>
      </c>
      <c r="J1396" s="3" t="str">
        <f>HYPERLINK("https://www.boe.es/gazeta/dias/1819/12/18/pdfs/GMD-1819-155.pdf#page=7","Abrir facsímil")</f>
        <v>Abrir facsímil</v>
      </c>
      <c r="K1396" s="3" t="s">
        <v>67</v>
      </c>
    </row>
    <row r="1397" spans="1:11" ht="42" customHeight="1">
      <c r="A1397" s="2" t="s">
        <v>3560</v>
      </c>
      <c r="B1397" s="2" t="s">
        <v>3561</v>
      </c>
      <c r="C1397" s="2" t="s">
        <v>63</v>
      </c>
      <c r="D1397" s="2" t="s">
        <v>43</v>
      </c>
      <c r="E1397" s="5">
        <v>-29542</v>
      </c>
      <c r="F1397" s="3" t="s">
        <v>607</v>
      </c>
      <c r="G1397" s="3" t="s">
        <v>20</v>
      </c>
      <c r="H1397" s="2" t="s">
        <v>65</v>
      </c>
      <c r="I1397" s="2" t="s">
        <v>3562</v>
      </c>
      <c r="J1397" s="3" t="str">
        <f>HYPERLINK("https://www.boe.es/gazeta/dias/1819/02/11/pdfs/GMD-1819-18.pdf#page=10","Abrir facsímil")</f>
        <v>Abrir facsímil</v>
      </c>
      <c r="K1397" s="3" t="s">
        <v>67</v>
      </c>
    </row>
    <row r="1398" spans="1:11" ht="42" customHeight="1">
      <c r="A1398" s="2" t="s">
        <v>3563</v>
      </c>
      <c r="B1398" s="2" t="s">
        <v>3564</v>
      </c>
      <c r="C1398" s="2" t="s">
        <v>80</v>
      </c>
      <c r="D1398" s="2" t="s">
        <v>81</v>
      </c>
      <c r="E1398" s="5">
        <v>-29397</v>
      </c>
      <c r="F1398" s="3" t="s">
        <v>599</v>
      </c>
      <c r="G1398" s="3" t="s">
        <v>38</v>
      </c>
      <c r="H1398" s="2" t="s">
        <v>65</v>
      </c>
      <c r="I1398" s="2" t="s">
        <v>3565</v>
      </c>
      <c r="J1398" s="3" t="str">
        <f>HYPERLINK("https://www.boe.es/gazeta/dias/1819/07/06/pdfs/GMD-1819-81.pdf#page=5","Abrir facsímil")</f>
        <v>Abrir facsímil</v>
      </c>
      <c r="K1398" s="3" t="s">
        <v>67</v>
      </c>
    </row>
    <row r="1399" spans="1:11" ht="42" customHeight="1">
      <c r="A1399" s="2" t="s">
        <v>3566</v>
      </c>
      <c r="B1399" s="2" t="s">
        <v>3566</v>
      </c>
      <c r="C1399" s="2" t="s">
        <v>26</v>
      </c>
      <c r="D1399" s="2" t="s">
        <v>18</v>
      </c>
      <c r="E1399" s="5">
        <v>-29533</v>
      </c>
      <c r="F1399" s="3" t="s">
        <v>280</v>
      </c>
      <c r="G1399" s="3" t="s">
        <v>239</v>
      </c>
      <c r="H1399" s="2" t="s">
        <v>65</v>
      </c>
      <c r="I1399" s="2" t="s">
        <v>3567</v>
      </c>
      <c r="J1399" s="3" t="str">
        <f>HYPERLINK("https://www.boe.es/gazeta/dias/1819/02/20/pdfs/GMD-1819-22.pdf#page=1","Abrir facsímil")</f>
        <v>Abrir facsímil</v>
      </c>
      <c r="K1399" s="3" t="s">
        <v>67</v>
      </c>
    </row>
    <row r="1400" spans="1:11" ht="42" customHeight="1">
      <c r="A1400" s="2" t="s">
        <v>3568</v>
      </c>
      <c r="B1400" s="2" t="s">
        <v>3568</v>
      </c>
      <c r="C1400" s="2" t="s">
        <v>215</v>
      </c>
      <c r="D1400" s="2" t="s">
        <v>18</v>
      </c>
      <c r="E1400" s="5">
        <v>-29239</v>
      </c>
      <c r="F1400" s="3" t="s">
        <v>724</v>
      </c>
      <c r="G1400" s="3" t="s">
        <v>239</v>
      </c>
      <c r="H1400" s="2" t="s">
        <v>65</v>
      </c>
      <c r="I1400" s="2" t="s">
        <v>3569</v>
      </c>
      <c r="J1400" s="3" t="str">
        <f>HYPERLINK("https://www.boe.es/gazeta/dias/1819/12/11/pdfs/GMD-1819-152.pdf#page=1","Abrir facsímil")</f>
        <v>Abrir facsímil</v>
      </c>
      <c r="K1400" s="3" t="s">
        <v>67</v>
      </c>
    </row>
    <row r="1401" spans="1:11" ht="42" customHeight="1">
      <c r="A1401" s="2" t="s">
        <v>3570</v>
      </c>
      <c r="B1401" s="2" t="s">
        <v>3571</v>
      </c>
      <c r="C1401" s="2" t="s">
        <v>63</v>
      </c>
      <c r="D1401" s="2" t="s">
        <v>43</v>
      </c>
      <c r="E1401" s="5">
        <v>-29481</v>
      </c>
      <c r="F1401" s="3" t="s">
        <v>1504</v>
      </c>
      <c r="G1401" s="3" t="s">
        <v>2206</v>
      </c>
      <c r="H1401" s="2" t="s">
        <v>65</v>
      </c>
      <c r="I1401" s="2" t="s">
        <v>3572</v>
      </c>
      <c r="J1401" s="3" t="str">
        <f>HYPERLINK("https://www.boe.es/gazeta/dias/1819/04/13/pdfs/GMD-1819-44.pdf#page=1","Abrir facsímil")</f>
        <v>Abrir facsímil</v>
      </c>
      <c r="K1401" s="3" t="s">
        <v>67</v>
      </c>
    </row>
    <row r="1402" spans="1:11" ht="42" customHeight="1">
      <c r="A1402" s="2" t="s">
        <v>3573</v>
      </c>
      <c r="B1402" s="2" t="s">
        <v>3573</v>
      </c>
      <c r="C1402" s="2" t="s">
        <v>80</v>
      </c>
      <c r="D1402" s="2" t="s">
        <v>81</v>
      </c>
      <c r="E1402" s="5">
        <v>-29423</v>
      </c>
      <c r="F1402" s="3" t="s">
        <v>1205</v>
      </c>
      <c r="G1402" s="3" t="s">
        <v>2915</v>
      </c>
      <c r="H1402" s="2" t="s">
        <v>65</v>
      </c>
      <c r="I1402" s="2" t="s">
        <v>3574</v>
      </c>
      <c r="J1402" s="3" t="str">
        <f>HYPERLINK("https://www.boe.es/gazeta/dias/1819/06/10/pdfs/GMD-1819-69.pdf#page=6","Abrir facsímil")</f>
        <v>Abrir facsímil</v>
      </c>
      <c r="K1402" s="3" t="s">
        <v>67</v>
      </c>
    </row>
    <row r="1403" spans="1:11" ht="42" customHeight="1">
      <c r="A1403" s="2" t="s">
        <v>3575</v>
      </c>
      <c r="B1403" s="2" t="s">
        <v>3576</v>
      </c>
      <c r="C1403" s="2" t="s">
        <v>80</v>
      </c>
      <c r="D1403" s="2" t="s">
        <v>81</v>
      </c>
      <c r="E1403" s="5">
        <v>-29274</v>
      </c>
      <c r="F1403" s="3" t="s">
        <v>247</v>
      </c>
      <c r="G1403" s="3" t="s">
        <v>33</v>
      </c>
      <c r="H1403" s="2" t="s">
        <v>65</v>
      </c>
      <c r="I1403" s="2" t="s">
        <v>3577</v>
      </c>
      <c r="J1403" s="3" t="str">
        <f>HYPERLINK("https://www.boe.es/gazeta/dias/1819/11/06/pdfs/GMD-1819-137.pdf#page=6","Abrir facsímil")</f>
        <v>Abrir facsímil</v>
      </c>
      <c r="K1403" s="3" t="s">
        <v>67</v>
      </c>
    </row>
    <row r="1404" spans="1:11" ht="42" customHeight="1">
      <c r="A1404" s="2" t="s">
        <v>3578</v>
      </c>
      <c r="B1404" s="2" t="s">
        <v>3579</v>
      </c>
      <c r="C1404" s="2" t="s">
        <v>63</v>
      </c>
      <c r="D1404" s="2" t="s">
        <v>43</v>
      </c>
      <c r="E1404" s="5">
        <v>-29565</v>
      </c>
      <c r="F1404" s="3" t="s">
        <v>293</v>
      </c>
      <c r="G1404" s="3" t="s">
        <v>1608</v>
      </c>
      <c r="H1404" s="2" t="s">
        <v>65</v>
      </c>
      <c r="I1404" s="2" t="s">
        <v>3580</v>
      </c>
      <c r="J1404" s="3" t="str">
        <f>HYPERLINK("https://www.boe.es/gazeta/dias/1819/01/19/pdfs/GMD-1819-8.pdf#page=8","Abrir facsímil")</f>
        <v>Abrir facsímil</v>
      </c>
      <c r="K1404" s="3" t="s">
        <v>67</v>
      </c>
    </row>
    <row r="1405" spans="1:11" ht="42" customHeight="1">
      <c r="A1405" s="2" t="s">
        <v>3581</v>
      </c>
      <c r="B1405" s="2" t="s">
        <v>3582</v>
      </c>
      <c r="C1405" s="2" t="s">
        <v>136</v>
      </c>
      <c r="D1405" s="2" t="s">
        <v>18</v>
      </c>
      <c r="E1405" s="5">
        <v>-29514</v>
      </c>
      <c r="F1405" s="3" t="s">
        <v>595</v>
      </c>
      <c r="G1405" s="3" t="s">
        <v>28</v>
      </c>
      <c r="H1405" s="2" t="s">
        <v>65</v>
      </c>
      <c r="I1405" s="2" t="s">
        <v>3583</v>
      </c>
      <c r="J1405" s="3" t="str">
        <f>HYPERLINK("https://www.boe.es/gazeta/dias/1819/03/11/pdfs/GMD-1819-30.pdf#page=8","Abrir facsímil")</f>
        <v>Abrir facsímil</v>
      </c>
      <c r="K1405" s="3" t="s">
        <v>67</v>
      </c>
    </row>
    <row r="1406" spans="1:11" ht="42" customHeight="1">
      <c r="A1406" s="2" t="s">
        <v>3581</v>
      </c>
      <c r="B1406" s="2" t="s">
        <v>3582</v>
      </c>
      <c r="C1406" s="2" t="s">
        <v>26</v>
      </c>
      <c r="D1406" s="2" t="s">
        <v>18</v>
      </c>
      <c r="E1406" s="5">
        <v>-29479</v>
      </c>
      <c r="F1406" s="3" t="s">
        <v>979</v>
      </c>
      <c r="G1406" s="3" t="s">
        <v>28</v>
      </c>
      <c r="H1406" s="2" t="s">
        <v>65</v>
      </c>
      <c r="I1406" s="2" t="s">
        <v>3584</v>
      </c>
      <c r="J1406" s="3" t="str">
        <f>HYPERLINK("https://www.boe.es/gazeta/dias/1819/04/15/pdfs/GMD-1819-45.pdf#page=8","Abrir facsímil")</f>
        <v>Abrir facsímil</v>
      </c>
      <c r="K1406" s="3" t="s">
        <v>67</v>
      </c>
    </row>
    <row r="1407" spans="1:11" ht="42" customHeight="1">
      <c r="A1407" s="2" t="s">
        <v>3581</v>
      </c>
      <c r="B1407" s="2" t="s">
        <v>3582</v>
      </c>
      <c r="C1407" s="2" t="s">
        <v>26</v>
      </c>
      <c r="D1407" s="2" t="s">
        <v>18</v>
      </c>
      <c r="E1407" s="5">
        <v>-29435</v>
      </c>
      <c r="F1407" s="3" t="s">
        <v>191</v>
      </c>
      <c r="G1407" s="3" t="s">
        <v>28</v>
      </c>
      <c r="H1407" s="2" t="s">
        <v>65</v>
      </c>
      <c r="I1407" s="2" t="s">
        <v>3585</v>
      </c>
      <c r="J1407" s="3" t="str">
        <f>HYPERLINK("https://www.boe.es/gazeta/dias/1819/05/29/pdfs/GMD-1819-64.pdf#page=8","Abrir facsímil")</f>
        <v>Abrir facsímil</v>
      </c>
      <c r="K1407" s="3" t="s">
        <v>67</v>
      </c>
    </row>
    <row r="1408" spans="1:11" ht="42" customHeight="1">
      <c r="A1408" s="2" t="s">
        <v>3586</v>
      </c>
      <c r="B1408" s="2" t="s">
        <v>3587</v>
      </c>
      <c r="C1408" s="2" t="s">
        <v>59</v>
      </c>
      <c r="D1408" s="2" t="s">
        <v>18</v>
      </c>
      <c r="E1408" s="5">
        <v>-29236</v>
      </c>
      <c r="F1408" s="3" t="s">
        <v>379</v>
      </c>
      <c r="G1408" s="3" t="s">
        <v>55</v>
      </c>
      <c r="H1408" s="2" t="s">
        <v>65</v>
      </c>
      <c r="I1408" s="2" t="s">
        <v>3588</v>
      </c>
      <c r="J1408" s="3" t="str">
        <f>HYPERLINK("https://www.boe.es/gazeta/dias/1819/12/14/pdfs/GMD-1819-153.pdf#page=7","Abrir facsímil")</f>
        <v>Abrir facsímil</v>
      </c>
      <c r="K1408" s="3" t="s">
        <v>67</v>
      </c>
    </row>
    <row r="1409" spans="1:11" ht="42" customHeight="1">
      <c r="A1409" s="2" t="s">
        <v>3589</v>
      </c>
      <c r="B1409" s="2" t="s">
        <v>3590</v>
      </c>
      <c r="C1409" s="2" t="s">
        <v>59</v>
      </c>
      <c r="D1409" s="2" t="s">
        <v>18</v>
      </c>
      <c r="E1409" s="5">
        <v>-29271</v>
      </c>
      <c r="F1409" s="3" t="s">
        <v>32</v>
      </c>
      <c r="G1409" s="3" t="s">
        <v>33</v>
      </c>
      <c r="H1409" s="2" t="s">
        <v>65</v>
      </c>
      <c r="I1409" s="2" t="s">
        <v>3591</v>
      </c>
      <c r="J1409" s="3" t="str">
        <f>HYPERLINK("https://www.boe.es/gazeta/dias/1819/11/09/pdfs/GMD-1819-138.pdf#page=6","Abrir facsímil")</f>
        <v>Abrir facsímil</v>
      </c>
      <c r="K1409" s="3" t="s">
        <v>67</v>
      </c>
    </row>
    <row r="1410" spans="1:11" ht="42" customHeight="1">
      <c r="A1410" s="2" t="s">
        <v>3592</v>
      </c>
      <c r="B1410" s="2" t="s">
        <v>3592</v>
      </c>
      <c r="C1410" s="2" t="s">
        <v>80</v>
      </c>
      <c r="D1410" s="2" t="s">
        <v>81</v>
      </c>
      <c r="E1410" s="5">
        <v>-29486</v>
      </c>
      <c r="F1410" s="3" t="s">
        <v>330</v>
      </c>
      <c r="G1410" s="3" t="s">
        <v>38</v>
      </c>
      <c r="H1410" s="2" t="s">
        <v>65</v>
      </c>
      <c r="I1410" s="2" t="s">
        <v>3593</v>
      </c>
      <c r="J1410" s="3" t="str">
        <f>HYPERLINK("https://www.boe.es/gazeta/dias/1819/04/08/pdfs/GMD-1819-42.pdf#page=5","Abrir facsímil")</f>
        <v>Abrir facsímil</v>
      </c>
      <c r="K1410" s="3" t="s">
        <v>67</v>
      </c>
    </row>
    <row r="1411" spans="1:11" ht="42" customHeight="1">
      <c r="A1411" s="2" t="s">
        <v>3594</v>
      </c>
      <c r="B1411" s="2" t="s">
        <v>3595</v>
      </c>
      <c r="C1411" s="2" t="s">
        <v>63</v>
      </c>
      <c r="D1411" s="2" t="s">
        <v>43</v>
      </c>
      <c r="E1411" s="5">
        <v>-29274</v>
      </c>
      <c r="F1411" s="3" t="s">
        <v>247</v>
      </c>
      <c r="G1411" s="3" t="s">
        <v>28</v>
      </c>
      <c r="H1411" s="2" t="s">
        <v>65</v>
      </c>
      <c r="I1411" s="2" t="s">
        <v>3596</v>
      </c>
      <c r="J1411" s="3" t="str">
        <f>HYPERLINK("https://www.boe.es/gazeta/dias/1819/11/06/pdfs/GMD-1819-137.pdf#page=8","Abrir facsímil")</f>
        <v>Abrir facsímil</v>
      </c>
      <c r="K1411" s="3" t="s">
        <v>67</v>
      </c>
    </row>
    <row r="1412" spans="1:11" ht="42" customHeight="1">
      <c r="A1412" s="2" t="s">
        <v>3597</v>
      </c>
      <c r="B1412" s="2" t="s">
        <v>3598</v>
      </c>
      <c r="C1412" s="2" t="s">
        <v>63</v>
      </c>
      <c r="D1412" s="2" t="s">
        <v>43</v>
      </c>
      <c r="E1412" s="5">
        <v>-29435</v>
      </c>
      <c r="F1412" s="3" t="s">
        <v>191</v>
      </c>
      <c r="G1412" s="3" t="s">
        <v>55</v>
      </c>
      <c r="H1412" s="2" t="s">
        <v>65</v>
      </c>
      <c r="I1412" s="2" t="s">
        <v>3599</v>
      </c>
      <c r="J1412" s="3" t="str">
        <f>HYPERLINK("https://www.boe.es/gazeta/dias/1819/05/29/pdfs/GMD-1819-64.pdf#page=7","Abrir facsímil")</f>
        <v>Abrir facsímil</v>
      </c>
      <c r="K1412" s="3" t="s">
        <v>67</v>
      </c>
    </row>
    <row r="1413" spans="1:11" ht="42" customHeight="1">
      <c r="A1413" s="2" t="s">
        <v>3597</v>
      </c>
      <c r="B1413" s="2" t="s">
        <v>3598</v>
      </c>
      <c r="C1413" s="2" t="s">
        <v>63</v>
      </c>
      <c r="D1413" s="2" t="s">
        <v>43</v>
      </c>
      <c r="E1413" s="5">
        <v>-29397</v>
      </c>
      <c r="F1413" s="3" t="s">
        <v>599</v>
      </c>
      <c r="G1413" s="3" t="s">
        <v>28</v>
      </c>
      <c r="H1413" s="2" t="s">
        <v>65</v>
      </c>
      <c r="I1413" s="2" t="s">
        <v>3600</v>
      </c>
      <c r="J1413" s="3" t="str">
        <f>HYPERLINK("https://www.boe.es/gazeta/dias/1819/07/06/pdfs/GMD-1819-81.pdf#page=8","Abrir facsímil")</f>
        <v>Abrir facsímil</v>
      </c>
      <c r="K1413" s="3" t="s">
        <v>67</v>
      </c>
    </row>
    <row r="1414" spans="1:11" ht="42" customHeight="1">
      <c r="A1414" s="2" t="s">
        <v>3597</v>
      </c>
      <c r="B1414" s="2" t="s">
        <v>3598</v>
      </c>
      <c r="C1414" s="2" t="s">
        <v>63</v>
      </c>
      <c r="D1414" s="2" t="s">
        <v>43</v>
      </c>
      <c r="E1414" s="5">
        <v>-29395</v>
      </c>
      <c r="F1414" s="3" t="s">
        <v>684</v>
      </c>
      <c r="G1414" s="3" t="s">
        <v>685</v>
      </c>
      <c r="H1414" s="2" t="s">
        <v>65</v>
      </c>
      <c r="I1414" s="2" t="s">
        <v>3601</v>
      </c>
      <c r="J1414" s="3" t="str">
        <f>HYPERLINK("https://www.boe.es/gazeta/dias/1819/07/08/pdfs/GMD-1819-82.pdf#page=8","Abrir facsímil")</f>
        <v>Abrir facsímil</v>
      </c>
      <c r="K1414" s="3" t="s">
        <v>67</v>
      </c>
    </row>
    <row r="1415" spans="1:11" ht="42" customHeight="1">
      <c r="A1415" s="2" t="s">
        <v>3597</v>
      </c>
      <c r="B1415" s="2" t="s">
        <v>3598</v>
      </c>
      <c r="C1415" s="2" t="s">
        <v>63</v>
      </c>
      <c r="D1415" s="2" t="s">
        <v>43</v>
      </c>
      <c r="E1415" s="5">
        <v>-29299</v>
      </c>
      <c r="F1415" s="3" t="s">
        <v>798</v>
      </c>
      <c r="G1415" s="3" t="s">
        <v>3602</v>
      </c>
      <c r="H1415" s="2" t="s">
        <v>65</v>
      </c>
      <c r="I1415" s="2" t="s">
        <v>3603</v>
      </c>
      <c r="J1415" s="3" t="str">
        <f>HYPERLINK("https://www.boe.es/gazeta/dias/1819/10/12/pdfs/GMD-1819-125.pdf#page=7","Abrir facsímil")</f>
        <v>Abrir facsímil</v>
      </c>
      <c r="K1415" s="3" t="s">
        <v>67</v>
      </c>
    </row>
    <row r="1416" spans="1:11" ht="42" customHeight="1">
      <c r="A1416" s="2" t="s">
        <v>3604</v>
      </c>
      <c r="B1416" s="2" t="s">
        <v>3604</v>
      </c>
      <c r="C1416" s="2" t="s">
        <v>80</v>
      </c>
      <c r="D1416" s="2" t="s">
        <v>81</v>
      </c>
      <c r="E1416" s="5">
        <v>-29400</v>
      </c>
      <c r="F1416" s="3" t="s">
        <v>2181</v>
      </c>
      <c r="G1416" s="3" t="s">
        <v>55</v>
      </c>
      <c r="H1416" s="2" t="s">
        <v>65</v>
      </c>
      <c r="I1416" s="2" t="s">
        <v>3605</v>
      </c>
      <c r="J1416" s="3" t="str">
        <f>HYPERLINK("https://www.boe.es/gazeta/dias/1819/07/03/pdfs/GMD-1819-80.pdf#page=7","Abrir facsímil")</f>
        <v>Abrir facsímil</v>
      </c>
      <c r="K1416" s="3" t="s">
        <v>67</v>
      </c>
    </row>
    <row r="1417" spans="1:11" ht="42" customHeight="1">
      <c r="A1417" s="2" t="s">
        <v>3606</v>
      </c>
      <c r="B1417" s="2" t="s">
        <v>3607</v>
      </c>
      <c r="C1417" s="2" t="s">
        <v>80</v>
      </c>
      <c r="D1417" s="2" t="s">
        <v>81</v>
      </c>
      <c r="E1417" s="5">
        <v>-29320</v>
      </c>
      <c r="F1417" s="3" t="s">
        <v>690</v>
      </c>
      <c r="G1417" s="3" t="s">
        <v>28</v>
      </c>
      <c r="H1417" s="2" t="s">
        <v>65</v>
      </c>
      <c r="I1417" s="2" t="s">
        <v>3608</v>
      </c>
      <c r="J1417" s="3" t="str">
        <f>HYPERLINK("https://www.boe.es/gazeta/dias/1819/09/21/pdfs/GMD-1819-116.pdf#page=8","Abrir facsímil")</f>
        <v>Abrir facsímil</v>
      </c>
      <c r="K1417" s="3" t="s">
        <v>67</v>
      </c>
    </row>
    <row r="1418" spans="1:11" ht="42" customHeight="1">
      <c r="A1418" s="2" t="s">
        <v>3609</v>
      </c>
      <c r="B1418" s="2" t="s">
        <v>3610</v>
      </c>
      <c r="C1418" s="2" t="s">
        <v>63</v>
      </c>
      <c r="D1418" s="2" t="s">
        <v>43</v>
      </c>
      <c r="E1418" s="5">
        <v>-29358</v>
      </c>
      <c r="F1418" s="3" t="s">
        <v>170</v>
      </c>
      <c r="G1418" s="3" t="s">
        <v>38</v>
      </c>
      <c r="H1418" s="2" t="s">
        <v>65</v>
      </c>
      <c r="I1418" s="2" t="s">
        <v>3611</v>
      </c>
      <c r="J1418" s="3" t="str">
        <f>HYPERLINK("https://www.boe.es/gazeta/dias/1819/08/14/pdfs/GMD-1819-98.pdf#page=5","Abrir facsímil")</f>
        <v>Abrir facsímil</v>
      </c>
      <c r="K1418" s="3" t="s">
        <v>67</v>
      </c>
    </row>
    <row r="1419" spans="1:11" ht="42" customHeight="1">
      <c r="A1419" s="2" t="s">
        <v>3612</v>
      </c>
      <c r="B1419" s="2" t="s">
        <v>3613</v>
      </c>
      <c r="C1419" s="2" t="s">
        <v>63</v>
      </c>
      <c r="D1419" s="2" t="s">
        <v>43</v>
      </c>
      <c r="E1419" s="5">
        <v>-29460</v>
      </c>
      <c r="F1419" s="3" t="s">
        <v>1534</v>
      </c>
      <c r="G1419" s="3" t="s">
        <v>33</v>
      </c>
      <c r="H1419" s="2" t="s">
        <v>65</v>
      </c>
      <c r="I1419" s="2" t="s">
        <v>3614</v>
      </c>
      <c r="J1419" s="3" t="str">
        <f>HYPERLINK("https://www.boe.es/gazeta/dias/1819/05/04/pdfs/GMD-1819-53.pdf#page=6","Abrir facsímil")</f>
        <v>Abrir facsímil</v>
      </c>
      <c r="K1419" s="3" t="s">
        <v>67</v>
      </c>
    </row>
    <row r="1420" spans="1:11" ht="42" customHeight="1">
      <c r="A1420" s="2" t="s">
        <v>3615</v>
      </c>
      <c r="B1420" s="2" t="s">
        <v>3616</v>
      </c>
      <c r="C1420" s="2" t="s">
        <v>26</v>
      </c>
      <c r="D1420" s="2" t="s">
        <v>454</v>
      </c>
      <c r="E1420" s="5">
        <v>-29287</v>
      </c>
      <c r="F1420" s="3" t="s">
        <v>455</v>
      </c>
      <c r="G1420" s="3" t="s">
        <v>20</v>
      </c>
      <c r="H1420" s="2" t="s">
        <v>65</v>
      </c>
      <c r="I1420" s="2" t="s">
        <v>3617</v>
      </c>
      <c r="J1420" s="3" t="str">
        <f>HYPERLINK("https://www.boe.es/gazeta/dias/1819/10/24/pdfs/GMD-1819-131E.pdf#page=10","Abrir facsímil")</f>
        <v>Abrir facsímil</v>
      </c>
      <c r="K1420" s="3" t="s">
        <v>67</v>
      </c>
    </row>
    <row r="1421" spans="1:11" ht="42" customHeight="1">
      <c r="A1421" s="2" t="s">
        <v>3618</v>
      </c>
      <c r="B1421" s="2" t="s">
        <v>3619</v>
      </c>
      <c r="C1421" s="2" t="s">
        <v>63</v>
      </c>
      <c r="D1421" s="2" t="s">
        <v>43</v>
      </c>
      <c r="E1421" s="5">
        <v>-29253</v>
      </c>
      <c r="F1421" s="3" t="s">
        <v>242</v>
      </c>
      <c r="G1421" s="3" t="s">
        <v>33</v>
      </c>
      <c r="H1421" s="2" t="s">
        <v>65</v>
      </c>
      <c r="I1421" s="2" t="s">
        <v>3620</v>
      </c>
      <c r="J1421" s="3" t="str">
        <f>HYPERLINK("https://www.boe.es/gazeta/dias/1819/11/27/pdfs/GMD-1819-146.pdf#page=6","Abrir facsímil")</f>
        <v>Abrir facsímil</v>
      </c>
      <c r="K1421" s="3" t="s">
        <v>67</v>
      </c>
    </row>
    <row r="1422" spans="1:11" ht="42" customHeight="1">
      <c r="A1422" s="2" t="s">
        <v>3621</v>
      </c>
      <c r="B1422" s="2" t="s">
        <v>3622</v>
      </c>
      <c r="C1422" s="2" t="s">
        <v>59</v>
      </c>
      <c r="D1422" s="2" t="s">
        <v>18</v>
      </c>
      <c r="E1422" s="5">
        <v>-29449</v>
      </c>
      <c r="F1422" s="3" t="s">
        <v>771</v>
      </c>
      <c r="G1422" s="3" t="s">
        <v>55</v>
      </c>
      <c r="H1422" s="2" t="s">
        <v>65</v>
      </c>
      <c r="I1422" s="2" t="s">
        <v>3623</v>
      </c>
      <c r="J1422" s="3" t="str">
        <f>HYPERLINK("https://www.boe.es/gazeta/dias/1819/05/15/pdfs/GMD-1819-58.pdf#page=7","Abrir facsímil")</f>
        <v>Abrir facsímil</v>
      </c>
      <c r="K1422" s="3" t="s">
        <v>67</v>
      </c>
    </row>
    <row r="1423" spans="1:11" ht="42" customHeight="1">
      <c r="A1423" s="2" t="s">
        <v>3624</v>
      </c>
      <c r="B1423" s="2" t="s">
        <v>3625</v>
      </c>
      <c r="C1423" s="2" t="s">
        <v>80</v>
      </c>
      <c r="D1423" s="2" t="s">
        <v>454</v>
      </c>
      <c r="E1423" s="5">
        <v>-29287</v>
      </c>
      <c r="F1423" s="3" t="s">
        <v>455</v>
      </c>
      <c r="G1423" s="3" t="s">
        <v>481</v>
      </c>
      <c r="H1423" s="2" t="s">
        <v>21</v>
      </c>
      <c r="I1423" s="2" t="s">
        <v>3626</v>
      </c>
      <c r="J1423" s="3" t="str">
        <f>HYPERLINK("https://www.boe.es/gazeta/dias/1819/10/24/pdfs/GMD-1819-131E.pdf#page=8","Abrir facsímil")</f>
        <v>Abrir facsímil</v>
      </c>
      <c r="K1423" s="3" t="s">
        <v>23</v>
      </c>
    </row>
    <row r="1424" spans="1:11" ht="42" customHeight="1">
      <c r="A1424" s="2" t="s">
        <v>3627</v>
      </c>
      <c r="B1424" s="2" t="s">
        <v>3628</v>
      </c>
      <c r="C1424" s="2" t="s">
        <v>17</v>
      </c>
      <c r="D1424" s="2" t="s">
        <v>18</v>
      </c>
      <c r="E1424" s="5">
        <v>-29467</v>
      </c>
      <c r="F1424" s="3" t="s">
        <v>1712</v>
      </c>
      <c r="G1424" s="3" t="s">
        <v>55</v>
      </c>
      <c r="H1424" s="2" t="s">
        <v>65</v>
      </c>
      <c r="I1424" s="2" t="s">
        <v>3629</v>
      </c>
      <c r="J1424" s="3" t="str">
        <f>HYPERLINK("https://www.boe.es/gazeta/dias/1819/04/27/pdfs/GMD-1819-50.pdf#page=7","Abrir facsímil")</f>
        <v>Abrir facsímil</v>
      </c>
      <c r="K1424" s="3" t="s">
        <v>67</v>
      </c>
    </row>
    <row r="1425" spans="1:11" ht="42" customHeight="1">
      <c r="A1425" s="2" t="s">
        <v>3630</v>
      </c>
      <c r="B1425" s="2" t="s">
        <v>3631</v>
      </c>
      <c r="C1425" s="2" t="s">
        <v>26</v>
      </c>
      <c r="D1425" s="2" t="s">
        <v>18</v>
      </c>
      <c r="E1425" s="5">
        <v>-29355</v>
      </c>
      <c r="F1425" s="3" t="s">
        <v>347</v>
      </c>
      <c r="G1425" s="3" t="s">
        <v>38</v>
      </c>
      <c r="H1425" s="2" t="s">
        <v>65</v>
      </c>
      <c r="I1425" s="2" t="s">
        <v>3632</v>
      </c>
      <c r="J1425" s="3" t="str">
        <f>HYPERLINK("https://www.boe.es/gazeta/dias/1819/08/17/pdfs/GMD-1819-99.pdf#page=5","Abrir facsímil")</f>
        <v>Abrir facsímil</v>
      </c>
      <c r="K1425" s="3" t="s">
        <v>67</v>
      </c>
    </row>
    <row r="1426" spans="1:11" ht="42" customHeight="1">
      <c r="A1426" s="2" t="s">
        <v>3633</v>
      </c>
      <c r="B1426" s="2" t="s">
        <v>3634</v>
      </c>
      <c r="C1426" s="2" t="s">
        <v>136</v>
      </c>
      <c r="D1426" s="2" t="s">
        <v>18</v>
      </c>
      <c r="E1426" s="5">
        <v>-29582</v>
      </c>
      <c r="F1426" s="3" t="s">
        <v>376</v>
      </c>
      <c r="G1426" s="3" t="s">
        <v>28</v>
      </c>
      <c r="H1426" s="2" t="s">
        <v>65</v>
      </c>
      <c r="I1426" s="2" t="s">
        <v>3635</v>
      </c>
      <c r="J1426" s="3" t="str">
        <f>HYPERLINK("https://www.boe.es/gazeta/dias/1819/01/02/pdfs/GMD-1819-1.pdf#page=8","Abrir facsímil")</f>
        <v>Abrir facsímil</v>
      </c>
      <c r="K1426" s="3" t="s">
        <v>67</v>
      </c>
    </row>
    <row r="1427" spans="1:11" ht="42" customHeight="1">
      <c r="A1427" s="2" t="s">
        <v>3633</v>
      </c>
      <c r="B1427" s="2" t="s">
        <v>3634</v>
      </c>
      <c r="C1427" s="2" t="s">
        <v>80</v>
      </c>
      <c r="D1427" s="2" t="s">
        <v>81</v>
      </c>
      <c r="E1427" s="5">
        <v>-29374</v>
      </c>
      <c r="F1427" s="3" t="s">
        <v>204</v>
      </c>
      <c r="G1427" s="3" t="s">
        <v>55</v>
      </c>
      <c r="H1427" s="2" t="s">
        <v>65</v>
      </c>
      <c r="I1427" s="2" t="s">
        <v>3636</v>
      </c>
      <c r="J1427" s="3" t="str">
        <f>HYPERLINK("https://www.boe.es/gazeta/dias/1819/07/29/pdfs/GMD-1819-91.pdf#page=7","Abrir facsímil")</f>
        <v>Abrir facsímil</v>
      </c>
      <c r="K1427" s="3" t="s">
        <v>67</v>
      </c>
    </row>
    <row r="1428" spans="1:11" ht="42" customHeight="1">
      <c r="A1428" s="2" t="s">
        <v>3633</v>
      </c>
      <c r="B1428" s="2" t="s">
        <v>3634</v>
      </c>
      <c r="C1428" s="2" t="s">
        <v>26</v>
      </c>
      <c r="D1428" s="2" t="s">
        <v>18</v>
      </c>
      <c r="E1428" s="5">
        <v>-29355</v>
      </c>
      <c r="F1428" s="3" t="s">
        <v>347</v>
      </c>
      <c r="G1428" s="3" t="s">
        <v>348</v>
      </c>
      <c r="H1428" s="2" t="s">
        <v>65</v>
      </c>
      <c r="I1428" s="2" t="s">
        <v>3637</v>
      </c>
      <c r="J1428" s="3" t="str">
        <f>HYPERLINK("https://www.boe.es/gazeta/dias/1819/08/17/pdfs/GMD-1819-99.pdf#page=6","Abrir facsímil")</f>
        <v>Abrir facsímil</v>
      </c>
      <c r="K1428" s="3" t="s">
        <v>67</v>
      </c>
    </row>
    <row r="1429" spans="1:11" ht="42" customHeight="1">
      <c r="A1429" s="2" t="s">
        <v>3638</v>
      </c>
      <c r="B1429" s="2" t="s">
        <v>3639</v>
      </c>
      <c r="C1429" s="2" t="s">
        <v>136</v>
      </c>
      <c r="D1429" s="2" t="s">
        <v>18</v>
      </c>
      <c r="E1429" s="5">
        <v>-29260</v>
      </c>
      <c r="F1429" s="3" t="s">
        <v>93</v>
      </c>
      <c r="G1429" s="3" t="s">
        <v>1275</v>
      </c>
      <c r="H1429" s="2" t="s">
        <v>65</v>
      </c>
      <c r="I1429" s="2" t="s">
        <v>3640</v>
      </c>
      <c r="J1429" s="3" t="str">
        <f>HYPERLINK("https://www.boe.es/gazeta/dias/1819/11/20/pdfs/GMD-1819-143.pdf#page=10","Abrir facsímil")</f>
        <v>Abrir facsímil</v>
      </c>
      <c r="K1429" s="3" t="s">
        <v>67</v>
      </c>
    </row>
    <row r="1430" spans="1:11" ht="42" customHeight="1">
      <c r="A1430" s="2" t="s">
        <v>3641</v>
      </c>
      <c r="B1430" s="2" t="s">
        <v>3642</v>
      </c>
      <c r="C1430" s="2" t="s">
        <v>17</v>
      </c>
      <c r="D1430" s="2" t="s">
        <v>18</v>
      </c>
      <c r="E1430" s="5">
        <v>-29460</v>
      </c>
      <c r="F1430" s="3" t="s">
        <v>1534</v>
      </c>
      <c r="G1430" s="3" t="s">
        <v>55</v>
      </c>
      <c r="H1430" s="2" t="s">
        <v>65</v>
      </c>
      <c r="I1430" s="2" t="s">
        <v>3643</v>
      </c>
      <c r="J1430" s="3" t="str">
        <f>HYPERLINK("https://www.boe.es/gazeta/dias/1819/05/04/pdfs/GMD-1819-53.pdf#page=7","Abrir facsímil")</f>
        <v>Abrir facsímil</v>
      </c>
      <c r="K1430" s="3" t="s">
        <v>67</v>
      </c>
    </row>
    <row r="1431" spans="1:11" ht="42" customHeight="1">
      <c r="A1431" s="2" t="s">
        <v>3644</v>
      </c>
      <c r="B1431" s="2" t="s">
        <v>3645</v>
      </c>
      <c r="C1431" s="2" t="s">
        <v>80</v>
      </c>
      <c r="D1431" s="2" t="s">
        <v>81</v>
      </c>
      <c r="E1431" s="5">
        <v>-29283</v>
      </c>
      <c r="F1431" s="3" t="s">
        <v>863</v>
      </c>
      <c r="G1431" s="3" t="s">
        <v>28</v>
      </c>
      <c r="H1431" s="2" t="s">
        <v>65</v>
      </c>
      <c r="I1431" s="2" t="s">
        <v>3646</v>
      </c>
      <c r="J1431" s="3" t="str">
        <f>HYPERLINK("https://www.boe.es/gazeta/dias/1819/10/28/pdfs/GMD-1819-133.pdf#page=8","Abrir facsímil")</f>
        <v>Abrir facsímil</v>
      </c>
      <c r="K1431" s="3" t="s">
        <v>67</v>
      </c>
    </row>
    <row r="1432" spans="1:11" ht="42" customHeight="1">
      <c r="A1432" s="2" t="s">
        <v>3647</v>
      </c>
      <c r="B1432" s="2" t="s">
        <v>3648</v>
      </c>
      <c r="C1432" s="2" t="s">
        <v>59</v>
      </c>
      <c r="D1432" s="2" t="s">
        <v>18</v>
      </c>
      <c r="E1432" s="5">
        <v>-29442</v>
      </c>
      <c r="F1432" s="3" t="s">
        <v>427</v>
      </c>
      <c r="G1432" s="3" t="s">
        <v>55</v>
      </c>
      <c r="H1432" s="2" t="s">
        <v>65</v>
      </c>
      <c r="I1432" s="2" t="s">
        <v>3649</v>
      </c>
      <c r="J1432" s="3" t="str">
        <f>HYPERLINK("https://www.boe.es/gazeta/dias/1819/05/22/pdfs/GMD-1819-61.pdf#page=7","Abrir facsímil")</f>
        <v>Abrir facsímil</v>
      </c>
      <c r="K1432" s="3" t="s">
        <v>67</v>
      </c>
    </row>
    <row r="1433" spans="1:11" ht="42" customHeight="1">
      <c r="A1433" s="2" t="s">
        <v>3650</v>
      </c>
      <c r="B1433" s="2" t="s">
        <v>3651</v>
      </c>
      <c r="C1433" s="2" t="s">
        <v>63</v>
      </c>
      <c r="D1433" s="2" t="s">
        <v>43</v>
      </c>
      <c r="E1433" s="5">
        <v>-29453</v>
      </c>
      <c r="F1433" s="3" t="s">
        <v>768</v>
      </c>
      <c r="G1433" s="3" t="s">
        <v>33</v>
      </c>
      <c r="H1433" s="2" t="s">
        <v>65</v>
      </c>
      <c r="I1433" s="2" t="s">
        <v>3652</v>
      </c>
      <c r="J1433" s="3" t="str">
        <f>HYPERLINK("https://www.boe.es/gazeta/dias/1819/05/11/pdfs/GMD-1819-56.pdf#page=6","Abrir facsímil")</f>
        <v>Abrir facsímil</v>
      </c>
      <c r="K1433" s="3" t="s">
        <v>67</v>
      </c>
    </row>
    <row r="1434" spans="1:11" ht="42" customHeight="1">
      <c r="A1434" s="2" t="s">
        <v>3653</v>
      </c>
      <c r="B1434" s="2" t="s">
        <v>3654</v>
      </c>
      <c r="C1434" s="2" t="s">
        <v>136</v>
      </c>
      <c r="D1434" s="2" t="s">
        <v>18</v>
      </c>
      <c r="E1434" s="5">
        <v>-29309</v>
      </c>
      <c r="F1434" s="3" t="s">
        <v>476</v>
      </c>
      <c r="G1434" s="3" t="s">
        <v>692</v>
      </c>
      <c r="H1434" s="2" t="s">
        <v>65</v>
      </c>
      <c r="I1434" s="2" t="s">
        <v>3655</v>
      </c>
      <c r="J1434" s="3" t="str">
        <f>HYPERLINK("https://www.boe.es/gazeta/dias/1819/10/02/pdfs/GMD-1819-121.pdf#page=8","Abrir facsímil")</f>
        <v>Abrir facsímil</v>
      </c>
      <c r="K1434" s="3" t="s">
        <v>67</v>
      </c>
    </row>
    <row r="1435" spans="1:11" ht="42" customHeight="1">
      <c r="A1435" s="2" t="s">
        <v>3656</v>
      </c>
      <c r="B1435" s="2" t="s">
        <v>3657</v>
      </c>
      <c r="C1435" s="2" t="s">
        <v>80</v>
      </c>
      <c r="D1435" s="2" t="s">
        <v>81</v>
      </c>
      <c r="E1435" s="5">
        <v>-29533</v>
      </c>
      <c r="F1435" s="3" t="s">
        <v>280</v>
      </c>
      <c r="G1435" s="3" t="s">
        <v>55</v>
      </c>
      <c r="H1435" s="2" t="s">
        <v>65</v>
      </c>
      <c r="I1435" s="2" t="s">
        <v>3658</v>
      </c>
      <c r="J1435" s="3" t="str">
        <f>HYPERLINK("https://www.boe.es/gazeta/dias/1819/02/20/pdfs/GMD-1819-22.pdf#page=7","Abrir facsímil")</f>
        <v>Abrir facsímil</v>
      </c>
      <c r="K1435" s="3" t="s">
        <v>67</v>
      </c>
    </row>
    <row r="1436" spans="1:11" ht="42" customHeight="1">
      <c r="A1436" s="2" t="s">
        <v>3659</v>
      </c>
      <c r="B1436" s="2" t="s">
        <v>3660</v>
      </c>
      <c r="C1436" s="2" t="s">
        <v>215</v>
      </c>
      <c r="D1436" s="2" t="s">
        <v>18</v>
      </c>
      <c r="E1436" s="5">
        <v>-29488</v>
      </c>
      <c r="F1436" s="3" t="s">
        <v>27</v>
      </c>
      <c r="G1436" s="3" t="s">
        <v>55</v>
      </c>
      <c r="H1436" s="2" t="s">
        <v>65</v>
      </c>
      <c r="I1436" s="2" t="s">
        <v>3661</v>
      </c>
      <c r="J1436" s="3" t="str">
        <f>HYPERLINK("https://www.boe.es/gazeta/dias/1819/04/06/pdfs/GMD-1819-41.pdf#page=7","Abrir facsímil")</f>
        <v>Abrir facsímil</v>
      </c>
      <c r="K1436" s="3" t="s">
        <v>67</v>
      </c>
    </row>
    <row r="1437" spans="1:11" ht="42" customHeight="1">
      <c r="A1437" s="2" t="s">
        <v>3659</v>
      </c>
      <c r="B1437" s="2" t="s">
        <v>3660</v>
      </c>
      <c r="C1437" s="2" t="s">
        <v>59</v>
      </c>
      <c r="D1437" s="2" t="s">
        <v>18</v>
      </c>
      <c r="E1437" s="5">
        <v>-29407</v>
      </c>
      <c r="F1437" s="3" t="s">
        <v>64</v>
      </c>
      <c r="G1437" s="3" t="s">
        <v>296</v>
      </c>
      <c r="H1437" s="2" t="s">
        <v>65</v>
      </c>
      <c r="I1437" s="2" t="s">
        <v>3662</v>
      </c>
      <c r="J1437" s="3" t="str">
        <f>HYPERLINK("https://www.boe.es/gazeta/dias/1819/06/26/pdfs/GMD-1819-77.pdf#page=4","Abrir facsímil")</f>
        <v>Abrir facsímil</v>
      </c>
      <c r="K1437" s="3" t="s">
        <v>67</v>
      </c>
    </row>
    <row r="1438" spans="1:11" ht="42" customHeight="1">
      <c r="A1438" s="2" t="s">
        <v>3663</v>
      </c>
      <c r="B1438" s="2" t="s">
        <v>3664</v>
      </c>
      <c r="C1438" s="2" t="s">
        <v>26</v>
      </c>
      <c r="D1438" s="2" t="s">
        <v>18</v>
      </c>
      <c r="E1438" s="5">
        <v>-29355</v>
      </c>
      <c r="F1438" s="3" t="s">
        <v>347</v>
      </c>
      <c r="G1438" s="3" t="s">
        <v>348</v>
      </c>
      <c r="H1438" s="2" t="s">
        <v>65</v>
      </c>
      <c r="I1438" s="2" t="s">
        <v>3665</v>
      </c>
      <c r="J1438" s="3" t="str">
        <f>HYPERLINK("https://www.boe.es/gazeta/dias/1819/08/17/pdfs/GMD-1819-99.pdf#page=6","Abrir facsímil")</f>
        <v>Abrir facsímil</v>
      </c>
      <c r="K1438" s="3" t="s">
        <v>67</v>
      </c>
    </row>
    <row r="1439" spans="1:11" ht="42" customHeight="1">
      <c r="A1439" s="2" t="s">
        <v>3666</v>
      </c>
      <c r="B1439" s="2" t="s">
        <v>3667</v>
      </c>
      <c r="C1439" s="2" t="s">
        <v>63</v>
      </c>
      <c r="D1439" s="2" t="s">
        <v>43</v>
      </c>
      <c r="E1439" s="5">
        <v>-29411</v>
      </c>
      <c r="F1439" s="3" t="s">
        <v>317</v>
      </c>
      <c r="G1439" s="3" t="s">
        <v>695</v>
      </c>
      <c r="H1439" s="2" t="s">
        <v>65</v>
      </c>
      <c r="I1439" s="2" t="s">
        <v>3668</v>
      </c>
      <c r="J1439" s="3" t="str">
        <f>HYPERLINK("https://www.boe.es/gazeta/dias/1819/06/22/pdfs/GMD-1819-75.pdf#page=8","Abrir facsímil")</f>
        <v>Abrir facsímil</v>
      </c>
      <c r="K1439" s="3" t="s">
        <v>67</v>
      </c>
    </row>
    <row r="1440" spans="1:11" ht="42" customHeight="1">
      <c r="A1440" s="2" t="s">
        <v>3666</v>
      </c>
      <c r="B1440" s="2" t="s">
        <v>3667</v>
      </c>
      <c r="C1440" s="2" t="s">
        <v>63</v>
      </c>
      <c r="D1440" s="2" t="s">
        <v>43</v>
      </c>
      <c r="E1440" s="5">
        <v>-29306</v>
      </c>
      <c r="F1440" s="3" t="s">
        <v>303</v>
      </c>
      <c r="G1440" s="3" t="s">
        <v>28</v>
      </c>
      <c r="H1440" s="2" t="s">
        <v>65</v>
      </c>
      <c r="I1440" s="2" t="s">
        <v>3669</v>
      </c>
      <c r="J1440" s="3" t="str">
        <f>HYPERLINK("https://www.boe.es/gazeta/dias/1819/10/05/pdfs/GMD-1819-122.pdf#page=8","Abrir facsímil")</f>
        <v>Abrir facsímil</v>
      </c>
      <c r="K1440" s="3" t="s">
        <v>67</v>
      </c>
    </row>
    <row r="1441" spans="1:11" ht="42" customHeight="1">
      <c r="A1441" s="2" t="s">
        <v>3666</v>
      </c>
      <c r="B1441" s="2" t="s">
        <v>3667</v>
      </c>
      <c r="C1441" s="2" t="s">
        <v>17</v>
      </c>
      <c r="D1441" s="2" t="s">
        <v>18</v>
      </c>
      <c r="E1441" s="5">
        <v>-29222</v>
      </c>
      <c r="F1441" s="3" t="s">
        <v>338</v>
      </c>
      <c r="G1441" s="3" t="s">
        <v>339</v>
      </c>
      <c r="H1441" s="2" t="s">
        <v>65</v>
      </c>
      <c r="I1441" s="2" t="s">
        <v>3670</v>
      </c>
      <c r="J1441" s="3" t="str">
        <f>HYPERLINK("https://www.boe.es/gazeta/dias/1819/12/28/pdfs/GMD-1819-159.pdf#page=8","Abrir facsímil")</f>
        <v>Abrir facsímil</v>
      </c>
      <c r="K1441" s="3" t="s">
        <v>67</v>
      </c>
    </row>
    <row r="1442" spans="1:11" ht="42" customHeight="1">
      <c r="A1442" s="2" t="s">
        <v>3671</v>
      </c>
      <c r="B1442" s="2" t="s">
        <v>3672</v>
      </c>
      <c r="C1442" s="2" t="s">
        <v>59</v>
      </c>
      <c r="D1442" s="2" t="s">
        <v>18</v>
      </c>
      <c r="E1442" s="5">
        <v>-29285</v>
      </c>
      <c r="F1442" s="3" t="s">
        <v>578</v>
      </c>
      <c r="G1442" s="3" t="s">
        <v>55</v>
      </c>
      <c r="H1442" s="2" t="s">
        <v>65</v>
      </c>
      <c r="I1442" s="2" t="s">
        <v>3673</v>
      </c>
      <c r="J1442" s="3" t="str">
        <f>HYPERLINK("https://www.boe.es/gazeta/dias/1819/10/26/pdfs/GMD-1819-132.pdf#page=7","Abrir facsímil")</f>
        <v>Abrir facsímil</v>
      </c>
      <c r="K1442" s="3" t="s">
        <v>67</v>
      </c>
    </row>
    <row r="1443" spans="1:11" ht="42" customHeight="1">
      <c r="A1443" s="2" t="s">
        <v>3674</v>
      </c>
      <c r="B1443" s="2" t="s">
        <v>3675</v>
      </c>
      <c r="C1443" s="2" t="s">
        <v>26</v>
      </c>
      <c r="D1443" s="2" t="s">
        <v>18</v>
      </c>
      <c r="E1443" s="5">
        <v>-29355</v>
      </c>
      <c r="F1443" s="3" t="s">
        <v>347</v>
      </c>
      <c r="G1443" s="3" t="s">
        <v>348</v>
      </c>
      <c r="H1443" s="2" t="s">
        <v>65</v>
      </c>
      <c r="I1443" s="2" t="s">
        <v>3676</v>
      </c>
      <c r="J1443" s="3" t="str">
        <f>HYPERLINK("https://www.boe.es/gazeta/dias/1819/08/17/pdfs/GMD-1819-99.pdf#page=6","Abrir facsímil")</f>
        <v>Abrir facsímil</v>
      </c>
      <c r="K1443" s="3" t="s">
        <v>67</v>
      </c>
    </row>
    <row r="1444" spans="1:11" ht="42" customHeight="1">
      <c r="A1444" s="2" t="s">
        <v>3677</v>
      </c>
      <c r="B1444" s="2" t="s">
        <v>3678</v>
      </c>
      <c r="C1444" s="2" t="s">
        <v>17</v>
      </c>
      <c r="D1444" s="2" t="s">
        <v>18</v>
      </c>
      <c r="E1444" s="5">
        <v>-29435</v>
      </c>
      <c r="F1444" s="3" t="s">
        <v>191</v>
      </c>
      <c r="G1444" s="3" t="s">
        <v>55</v>
      </c>
      <c r="H1444" s="2" t="s">
        <v>65</v>
      </c>
      <c r="I1444" s="2" t="s">
        <v>3679</v>
      </c>
      <c r="J1444" s="3" t="str">
        <f>HYPERLINK("https://www.boe.es/gazeta/dias/1819/05/29/pdfs/GMD-1819-64.pdf#page=7","Abrir facsímil")</f>
        <v>Abrir facsímil</v>
      </c>
      <c r="K1444" s="3" t="s">
        <v>67</v>
      </c>
    </row>
    <row r="1445" spans="1:11" ht="42" customHeight="1">
      <c r="A1445" s="2" t="s">
        <v>3680</v>
      </c>
      <c r="B1445" s="2" t="s">
        <v>3681</v>
      </c>
      <c r="C1445" s="2" t="s">
        <v>17</v>
      </c>
      <c r="D1445" s="2" t="s">
        <v>18</v>
      </c>
      <c r="E1445" s="5">
        <v>-29281</v>
      </c>
      <c r="F1445" s="3" t="s">
        <v>19</v>
      </c>
      <c r="G1445" s="3" t="s">
        <v>20</v>
      </c>
      <c r="H1445" s="2" t="s">
        <v>65</v>
      </c>
      <c r="I1445" s="2" t="s">
        <v>3682</v>
      </c>
      <c r="J1445" s="3" t="str">
        <f>HYPERLINK("https://www.boe.es/gazeta/dias/1819/10/30/pdfs/GMD-1819-134.pdf#page=10","Abrir facsímil")</f>
        <v>Abrir facsímil</v>
      </c>
      <c r="K1445" s="3" t="s">
        <v>67</v>
      </c>
    </row>
    <row r="1446" spans="1:11" ht="42" customHeight="1">
      <c r="A1446" s="2" t="s">
        <v>3683</v>
      </c>
      <c r="B1446" s="2" t="s">
        <v>3684</v>
      </c>
      <c r="C1446" s="2" t="s">
        <v>80</v>
      </c>
      <c r="D1446" s="2" t="s">
        <v>81</v>
      </c>
      <c r="E1446" s="5">
        <v>-29297</v>
      </c>
      <c r="F1446" s="3" t="s">
        <v>82</v>
      </c>
      <c r="G1446" s="3" t="s">
        <v>33</v>
      </c>
      <c r="H1446" s="2" t="s">
        <v>65</v>
      </c>
      <c r="I1446" s="2" t="s">
        <v>3685</v>
      </c>
      <c r="J1446" s="3" t="str">
        <f>HYPERLINK("https://www.boe.es/gazeta/dias/1819/10/14/pdfs/GMD-1819-126.pdf#page=6","Abrir facsímil")</f>
        <v>Abrir facsímil</v>
      </c>
      <c r="K1446" s="3" t="s">
        <v>67</v>
      </c>
    </row>
    <row r="1447" spans="1:11" ht="42" customHeight="1">
      <c r="A1447" s="2" t="s">
        <v>3686</v>
      </c>
      <c r="B1447" s="2" t="s">
        <v>3687</v>
      </c>
      <c r="C1447" s="2" t="s">
        <v>59</v>
      </c>
      <c r="D1447" s="2" t="s">
        <v>18</v>
      </c>
      <c r="E1447" s="5">
        <v>-29348</v>
      </c>
      <c r="F1447" s="3" t="s">
        <v>227</v>
      </c>
      <c r="G1447" s="3" t="s">
        <v>55</v>
      </c>
      <c r="H1447" s="2" t="s">
        <v>65</v>
      </c>
      <c r="I1447" s="2" t="s">
        <v>3688</v>
      </c>
      <c r="J1447" s="3" t="str">
        <f>HYPERLINK("https://www.boe.es/gazeta/dias/1819/08/24/pdfs/GMD-1819-102.pdf#page=7","Abrir facsímil")</f>
        <v>Abrir facsímil</v>
      </c>
      <c r="K1447" s="3" t="s">
        <v>67</v>
      </c>
    </row>
    <row r="1448" spans="1:11" ht="42" customHeight="1">
      <c r="A1448" s="2" t="s">
        <v>3689</v>
      </c>
      <c r="B1448" s="2" t="s">
        <v>3689</v>
      </c>
      <c r="C1448" s="2" t="s">
        <v>136</v>
      </c>
      <c r="D1448" s="2" t="s">
        <v>18</v>
      </c>
      <c r="E1448" s="5">
        <v>-29362</v>
      </c>
      <c r="F1448" s="3" t="s">
        <v>803</v>
      </c>
      <c r="G1448" s="3" t="s">
        <v>33</v>
      </c>
      <c r="H1448" s="2" t="s">
        <v>65</v>
      </c>
      <c r="I1448" s="2" t="s">
        <v>3690</v>
      </c>
      <c r="J1448" s="3" t="str">
        <f>HYPERLINK("https://www.boe.es/gazeta/dias/1819/08/10/pdfs/GMD-1819-96.pdf#page=6","Abrir facsímil")</f>
        <v>Abrir facsímil</v>
      </c>
      <c r="K1448" s="3" t="s">
        <v>67</v>
      </c>
    </row>
    <row r="1449" spans="1:11" ht="42" customHeight="1">
      <c r="A1449" s="2" t="s">
        <v>3691</v>
      </c>
      <c r="B1449" s="2" t="s">
        <v>3692</v>
      </c>
      <c r="C1449" s="2" t="s">
        <v>59</v>
      </c>
      <c r="D1449" s="2" t="s">
        <v>18</v>
      </c>
      <c r="E1449" s="5">
        <v>-29316</v>
      </c>
      <c r="F1449" s="3" t="s">
        <v>166</v>
      </c>
      <c r="G1449" s="3" t="s">
        <v>456</v>
      </c>
      <c r="H1449" s="2" t="s">
        <v>65</v>
      </c>
      <c r="I1449" s="2" t="s">
        <v>3693</v>
      </c>
      <c r="J1449" s="3" t="str">
        <f>HYPERLINK("https://www.boe.es/gazeta/dias/1819/09/25/pdfs/GMD-1819-118.pdf#page=9","Abrir facsímil")</f>
        <v>Abrir facsímil</v>
      </c>
      <c r="K1449" s="3" t="s">
        <v>67</v>
      </c>
    </row>
    <row r="1450" spans="1:11" ht="42" customHeight="1">
      <c r="A1450" s="2" t="s">
        <v>3694</v>
      </c>
      <c r="B1450" s="2" t="s">
        <v>3694</v>
      </c>
      <c r="C1450" s="2" t="s">
        <v>80</v>
      </c>
      <c r="D1450" s="2" t="s">
        <v>81</v>
      </c>
      <c r="E1450" s="5">
        <v>-29428</v>
      </c>
      <c r="F1450" s="3" t="s">
        <v>730</v>
      </c>
      <c r="G1450" s="3" t="s">
        <v>28</v>
      </c>
      <c r="H1450" s="2" t="s">
        <v>65</v>
      </c>
      <c r="I1450" s="2" t="s">
        <v>3695</v>
      </c>
      <c r="J1450" s="3" t="str">
        <f>HYPERLINK("https://www.boe.es/gazeta/dias/1819/06/05/pdfs/GMD-1819-67.pdf#page=8","Abrir facsímil")</f>
        <v>Abrir facsímil</v>
      </c>
      <c r="K1450" s="3" t="s">
        <v>67</v>
      </c>
    </row>
    <row r="1451" spans="1:11" ht="42" customHeight="1">
      <c r="A1451" s="2" t="s">
        <v>3694</v>
      </c>
      <c r="B1451" s="2" t="s">
        <v>3694</v>
      </c>
      <c r="C1451" s="2" t="s">
        <v>59</v>
      </c>
      <c r="D1451" s="2" t="s">
        <v>18</v>
      </c>
      <c r="E1451" s="5">
        <v>-29290</v>
      </c>
      <c r="F1451" s="3" t="s">
        <v>622</v>
      </c>
      <c r="G1451" s="3" t="s">
        <v>38</v>
      </c>
      <c r="H1451" s="2" t="s">
        <v>65</v>
      </c>
      <c r="I1451" s="2" t="s">
        <v>3696</v>
      </c>
      <c r="J1451" s="3" t="str">
        <f>HYPERLINK("https://www.boe.es/gazeta/dias/1819/10/21/pdfs/GMD-1819-129.pdf#page=5","Abrir facsímil")</f>
        <v>Abrir facsímil</v>
      </c>
      <c r="K1451" s="3" t="s">
        <v>67</v>
      </c>
    </row>
    <row r="1452" spans="1:11" ht="42" customHeight="1">
      <c r="A1452" s="2" t="s">
        <v>3697</v>
      </c>
      <c r="B1452" s="2" t="s">
        <v>3697</v>
      </c>
      <c r="C1452" s="2" t="s">
        <v>26</v>
      </c>
      <c r="D1452" s="2" t="s">
        <v>18</v>
      </c>
      <c r="E1452" s="5">
        <v>-29267</v>
      </c>
      <c r="F1452" s="3" t="s">
        <v>370</v>
      </c>
      <c r="G1452" s="3" t="s">
        <v>33</v>
      </c>
      <c r="H1452" s="2" t="s">
        <v>65</v>
      </c>
      <c r="I1452" s="2" t="s">
        <v>3698</v>
      </c>
      <c r="J1452" s="3" t="str">
        <f>HYPERLINK("https://www.boe.es/gazeta/dias/1819/11/13/pdfs/GMD-1819-140.pdf#page=6","Abrir facsímil")</f>
        <v>Abrir facsímil</v>
      </c>
      <c r="K1452" s="3" t="s">
        <v>67</v>
      </c>
    </row>
    <row r="1453" spans="1:11" ht="42" customHeight="1">
      <c r="A1453" s="2" t="s">
        <v>3699</v>
      </c>
      <c r="B1453" s="2" t="s">
        <v>3699</v>
      </c>
      <c r="C1453" s="2" t="s">
        <v>63</v>
      </c>
      <c r="D1453" s="2" t="s">
        <v>43</v>
      </c>
      <c r="E1453" s="5">
        <v>-29416</v>
      </c>
      <c r="F1453" s="3" t="s">
        <v>251</v>
      </c>
      <c r="G1453" s="3" t="s">
        <v>259</v>
      </c>
      <c r="H1453" s="2" t="s">
        <v>65</v>
      </c>
      <c r="I1453" s="2" t="s">
        <v>3700</v>
      </c>
      <c r="J1453" s="3" t="str">
        <f>HYPERLINK("https://www.boe.es/gazeta/dias/1819/06/17/pdfs/GMD-1819-73.pdf#page=2","Abrir facsímil")</f>
        <v>Abrir facsímil</v>
      </c>
      <c r="K1453" s="3" t="s">
        <v>67</v>
      </c>
    </row>
    <row r="1454" spans="1:11" ht="42" customHeight="1">
      <c r="A1454" s="2" t="s">
        <v>3701</v>
      </c>
      <c r="B1454" s="2" t="s">
        <v>3702</v>
      </c>
      <c r="C1454" s="2" t="s">
        <v>59</v>
      </c>
      <c r="D1454" s="2" t="s">
        <v>18</v>
      </c>
      <c r="E1454" s="5">
        <v>-29225</v>
      </c>
      <c r="F1454" s="3" t="s">
        <v>472</v>
      </c>
      <c r="G1454" s="3" t="s">
        <v>296</v>
      </c>
      <c r="H1454" s="2" t="s">
        <v>65</v>
      </c>
      <c r="I1454" s="2" t="s">
        <v>3703</v>
      </c>
      <c r="J1454" s="3" t="str">
        <f>HYPERLINK("https://www.boe.es/gazeta/dias/1819/12/25/pdfs/GMD-1819-158.pdf#page=4","Abrir facsímil")</f>
        <v>Abrir facsímil</v>
      </c>
      <c r="K1454" s="3" t="s">
        <v>67</v>
      </c>
    </row>
    <row r="1455" spans="1:11" ht="42" customHeight="1">
      <c r="A1455" s="2" t="s">
        <v>3704</v>
      </c>
      <c r="B1455" s="2" t="s">
        <v>3705</v>
      </c>
      <c r="C1455" s="2" t="s">
        <v>80</v>
      </c>
      <c r="D1455" s="2" t="s">
        <v>81</v>
      </c>
      <c r="E1455" s="5">
        <v>-29285</v>
      </c>
      <c r="F1455" s="3" t="s">
        <v>578</v>
      </c>
      <c r="G1455" s="3" t="s">
        <v>55</v>
      </c>
      <c r="H1455" s="2" t="s">
        <v>65</v>
      </c>
      <c r="I1455" s="2" t="s">
        <v>3706</v>
      </c>
      <c r="J1455" s="3" t="str">
        <f>HYPERLINK("https://www.boe.es/gazeta/dias/1819/10/26/pdfs/GMD-1819-132.pdf#page=7","Abrir facsímil")</f>
        <v>Abrir facsímil</v>
      </c>
      <c r="K1455" s="3" t="s">
        <v>67</v>
      </c>
    </row>
    <row r="1456" spans="1:11" ht="42" customHeight="1">
      <c r="A1456" s="2" t="s">
        <v>3707</v>
      </c>
      <c r="B1456" s="2" t="s">
        <v>3708</v>
      </c>
      <c r="C1456" s="2" t="s">
        <v>26</v>
      </c>
      <c r="D1456" s="2" t="s">
        <v>18</v>
      </c>
      <c r="E1456" s="5">
        <v>-29267</v>
      </c>
      <c r="F1456" s="3" t="s">
        <v>370</v>
      </c>
      <c r="G1456" s="3" t="s">
        <v>33</v>
      </c>
      <c r="H1456" s="2" t="s">
        <v>65</v>
      </c>
      <c r="I1456" s="2" t="s">
        <v>3709</v>
      </c>
      <c r="J1456" s="3" t="str">
        <f>HYPERLINK("https://www.boe.es/gazeta/dias/1819/11/13/pdfs/GMD-1819-140.pdf#page=6","Abrir facsímil")</f>
        <v>Abrir facsímil</v>
      </c>
      <c r="K1456" s="3" t="s">
        <v>67</v>
      </c>
    </row>
    <row r="1457" spans="1:11" ht="42" customHeight="1">
      <c r="A1457" s="2" t="s">
        <v>3710</v>
      </c>
      <c r="B1457" s="2" t="s">
        <v>3711</v>
      </c>
      <c r="C1457" s="2" t="s">
        <v>80</v>
      </c>
      <c r="D1457" s="2" t="s">
        <v>81</v>
      </c>
      <c r="E1457" s="5">
        <v>-29264</v>
      </c>
      <c r="F1457" s="3" t="s">
        <v>37</v>
      </c>
      <c r="G1457" s="3" t="s">
        <v>1794</v>
      </c>
      <c r="H1457" s="2" t="s">
        <v>65</v>
      </c>
      <c r="I1457" s="2" t="s">
        <v>3712</v>
      </c>
      <c r="J1457" s="3" t="str">
        <f>HYPERLINK("https://www.boe.es/gazeta/dias/1819/11/16/pdfs/GMD-1819-141.pdf#page=11","Abrir facsímil")</f>
        <v>Abrir facsímil</v>
      </c>
      <c r="K1457" s="3" t="s">
        <v>67</v>
      </c>
    </row>
    <row r="1458" spans="1:11" ht="42" customHeight="1">
      <c r="A1458" s="2" t="s">
        <v>3713</v>
      </c>
      <c r="B1458" s="2" t="s">
        <v>3714</v>
      </c>
      <c r="C1458" s="2" t="s">
        <v>59</v>
      </c>
      <c r="D1458" s="2" t="s">
        <v>18</v>
      </c>
      <c r="E1458" s="5">
        <v>-29348</v>
      </c>
      <c r="F1458" s="3" t="s">
        <v>227</v>
      </c>
      <c r="G1458" s="3" t="s">
        <v>55</v>
      </c>
      <c r="H1458" s="2" t="s">
        <v>65</v>
      </c>
      <c r="I1458" s="2" t="s">
        <v>3715</v>
      </c>
      <c r="J1458" s="3" t="str">
        <f>HYPERLINK("https://www.boe.es/gazeta/dias/1819/08/24/pdfs/GMD-1819-102.pdf#page=7","Abrir facsímil")</f>
        <v>Abrir facsímil</v>
      </c>
      <c r="K1458" s="3" t="s">
        <v>67</v>
      </c>
    </row>
    <row r="1459" spans="1:11" ht="42" customHeight="1">
      <c r="A1459" s="2" t="s">
        <v>3716</v>
      </c>
      <c r="B1459" s="2" t="s">
        <v>3717</v>
      </c>
      <c r="C1459" s="2" t="s">
        <v>17</v>
      </c>
      <c r="D1459" s="2" t="s">
        <v>18</v>
      </c>
      <c r="E1459" s="5">
        <v>-29351</v>
      </c>
      <c r="F1459" s="3" t="s">
        <v>101</v>
      </c>
      <c r="G1459" s="3" t="s">
        <v>3292</v>
      </c>
      <c r="H1459" s="2" t="s">
        <v>65</v>
      </c>
      <c r="I1459" s="2" t="s">
        <v>3718</v>
      </c>
      <c r="J1459" s="3" t="str">
        <f>HYPERLINK("https://www.boe.es/gazeta/dias/1819/08/21/pdfs/GMD-1819-101.pdf#page=4","Abrir facsímil")</f>
        <v>Abrir facsímil</v>
      </c>
      <c r="K1459" s="3" t="s">
        <v>67</v>
      </c>
    </row>
    <row r="1460" spans="1:11" ht="42" customHeight="1">
      <c r="A1460" s="2" t="s">
        <v>3719</v>
      </c>
      <c r="B1460" s="2" t="s">
        <v>3720</v>
      </c>
      <c r="C1460" s="2" t="s">
        <v>17</v>
      </c>
      <c r="D1460" s="2" t="s">
        <v>18</v>
      </c>
      <c r="E1460" s="5">
        <v>-29264</v>
      </c>
      <c r="F1460" s="3" t="s">
        <v>37</v>
      </c>
      <c r="G1460" s="3" t="s">
        <v>38</v>
      </c>
      <c r="H1460" s="2" t="s">
        <v>65</v>
      </c>
      <c r="I1460" s="2" t="s">
        <v>3721</v>
      </c>
      <c r="J1460" s="3" t="str">
        <f>HYPERLINK("https://www.boe.es/gazeta/dias/1819/11/16/pdfs/GMD-1819-141.pdf#page=5","Abrir facsímil")</f>
        <v>Abrir facsímil</v>
      </c>
      <c r="K1460" s="3" t="s">
        <v>67</v>
      </c>
    </row>
    <row r="1461" spans="1:11" ht="42" customHeight="1">
      <c r="A1461" s="2" t="s">
        <v>3722</v>
      </c>
      <c r="B1461" s="2" t="s">
        <v>3723</v>
      </c>
      <c r="C1461" s="2" t="s">
        <v>215</v>
      </c>
      <c r="D1461" s="2" t="s">
        <v>18</v>
      </c>
      <c r="E1461" s="5">
        <v>-29304</v>
      </c>
      <c r="F1461" s="3" t="s">
        <v>519</v>
      </c>
      <c r="G1461" s="3" t="s">
        <v>28</v>
      </c>
      <c r="H1461" s="2" t="s">
        <v>65</v>
      </c>
      <c r="I1461" s="2" t="s">
        <v>3724</v>
      </c>
      <c r="J1461" s="3" t="str">
        <f>HYPERLINK("https://www.boe.es/gazeta/dias/1819/10/07/pdfs/GMD-1819-123.pdf#page=8","Abrir facsímil")</f>
        <v>Abrir facsímil</v>
      </c>
      <c r="K1461" s="3" t="s">
        <v>67</v>
      </c>
    </row>
    <row r="1462" spans="1:11" ht="42" customHeight="1">
      <c r="A1462" s="2" t="s">
        <v>3725</v>
      </c>
      <c r="B1462" s="2" t="s">
        <v>3726</v>
      </c>
      <c r="C1462" s="2" t="s">
        <v>63</v>
      </c>
      <c r="D1462" s="2" t="s">
        <v>43</v>
      </c>
      <c r="E1462" s="5">
        <v>-29351</v>
      </c>
      <c r="F1462" s="3" t="s">
        <v>101</v>
      </c>
      <c r="G1462" s="3" t="s">
        <v>28</v>
      </c>
      <c r="H1462" s="2" t="s">
        <v>65</v>
      </c>
      <c r="I1462" s="2" t="s">
        <v>3727</v>
      </c>
      <c r="J1462" s="3" t="str">
        <f>HYPERLINK("https://www.boe.es/gazeta/dias/1819/08/21/pdfs/GMD-1819-101.pdf#page=8","Abrir facsímil")</f>
        <v>Abrir facsímil</v>
      </c>
      <c r="K1462" s="3" t="s">
        <v>67</v>
      </c>
    </row>
    <row r="1463" spans="1:11" ht="42" customHeight="1">
      <c r="A1463" s="2" t="s">
        <v>3728</v>
      </c>
      <c r="B1463" s="2" t="s">
        <v>3729</v>
      </c>
      <c r="C1463" s="2" t="s">
        <v>63</v>
      </c>
      <c r="D1463" s="2" t="s">
        <v>43</v>
      </c>
      <c r="E1463" s="5">
        <v>-29334</v>
      </c>
      <c r="F1463" s="3" t="s">
        <v>3082</v>
      </c>
      <c r="G1463" s="3" t="s">
        <v>28</v>
      </c>
      <c r="H1463" s="2" t="s">
        <v>65</v>
      </c>
      <c r="I1463" s="2" t="s">
        <v>3730</v>
      </c>
      <c r="J1463" s="3" t="str">
        <f>HYPERLINK("https://www.boe.es/gazeta/dias/1819/09/07/pdfs/GMD-1819-109.pdf#page=8","Abrir facsímil")</f>
        <v>Abrir facsímil</v>
      </c>
      <c r="K1463" s="3" t="s">
        <v>67</v>
      </c>
    </row>
    <row r="1464" spans="1:11" ht="42" customHeight="1">
      <c r="A1464" s="2" t="s">
        <v>3731</v>
      </c>
      <c r="B1464" s="2" t="s">
        <v>3731</v>
      </c>
      <c r="C1464" s="2" t="s">
        <v>63</v>
      </c>
      <c r="D1464" s="2" t="s">
        <v>43</v>
      </c>
      <c r="E1464" s="5">
        <v>-29554</v>
      </c>
      <c r="F1464" s="3" t="s">
        <v>150</v>
      </c>
      <c r="G1464" s="3" t="s">
        <v>259</v>
      </c>
      <c r="H1464" s="2" t="s">
        <v>65</v>
      </c>
      <c r="I1464" s="2" t="s">
        <v>3732</v>
      </c>
      <c r="J1464" s="3" t="str">
        <f>HYPERLINK("https://www.boe.es/gazeta/dias/1819/01/30/pdfs/GMD-1819-13.pdf#page=2","Abrir facsímil")</f>
        <v>Abrir facsímil</v>
      </c>
      <c r="K1464" s="3" t="s">
        <v>67</v>
      </c>
    </row>
    <row r="1465" spans="1:11" ht="42" customHeight="1">
      <c r="A1465" s="2" t="s">
        <v>3731</v>
      </c>
      <c r="B1465" s="2" t="s">
        <v>3731</v>
      </c>
      <c r="C1465" s="2" t="s">
        <v>17</v>
      </c>
      <c r="D1465" s="2" t="s">
        <v>18</v>
      </c>
      <c r="E1465" s="5">
        <v>-29332</v>
      </c>
      <c r="F1465" s="3" t="s">
        <v>499</v>
      </c>
      <c r="G1465" s="3" t="s">
        <v>102</v>
      </c>
      <c r="H1465" s="2" t="s">
        <v>65</v>
      </c>
      <c r="I1465" s="2" t="s">
        <v>3733</v>
      </c>
      <c r="J1465" s="3" t="str">
        <f>HYPERLINK("https://www.boe.es/gazeta/dias/1819/09/09/pdfs/GMD-1819-110.pdf#page=3","Abrir facsímil")</f>
        <v>Abrir facsímil</v>
      </c>
      <c r="K1465" s="3" t="s">
        <v>67</v>
      </c>
    </row>
    <row r="1466" spans="1:11" ht="42" customHeight="1">
      <c r="A1466" s="2" t="s">
        <v>3731</v>
      </c>
      <c r="B1466" s="2" t="s">
        <v>3731</v>
      </c>
      <c r="C1466" s="2" t="s">
        <v>246</v>
      </c>
      <c r="D1466" s="2" t="s">
        <v>18</v>
      </c>
      <c r="E1466" s="5">
        <v>-29299</v>
      </c>
      <c r="F1466" s="3" t="s">
        <v>798</v>
      </c>
      <c r="G1466" s="3" t="s">
        <v>102</v>
      </c>
      <c r="H1466" s="2" t="s">
        <v>65</v>
      </c>
      <c r="I1466" s="2" t="s">
        <v>3734</v>
      </c>
      <c r="J1466" s="3" t="str">
        <f>HYPERLINK("https://www.boe.es/gazeta/dias/1819/10/12/pdfs/GMD-1819-125.pdf#page=3","Abrir facsímil")</f>
        <v>Abrir facsímil</v>
      </c>
      <c r="K1466" s="3" t="s">
        <v>67</v>
      </c>
    </row>
    <row r="1467" spans="1:11" ht="42" customHeight="1">
      <c r="A1467" s="2" t="s">
        <v>3735</v>
      </c>
      <c r="B1467" s="2" t="s">
        <v>3735</v>
      </c>
      <c r="C1467" s="2" t="s">
        <v>63</v>
      </c>
      <c r="D1467" s="2" t="s">
        <v>43</v>
      </c>
      <c r="E1467" s="5">
        <v>-29453</v>
      </c>
      <c r="F1467" s="3" t="s">
        <v>768</v>
      </c>
      <c r="G1467" s="3" t="s">
        <v>33</v>
      </c>
      <c r="H1467" s="2" t="s">
        <v>65</v>
      </c>
      <c r="I1467" s="2" t="s">
        <v>3736</v>
      </c>
      <c r="J1467" s="3" t="str">
        <f>HYPERLINK("https://www.boe.es/gazeta/dias/1819/05/11/pdfs/GMD-1819-56.pdf#page=6","Abrir facsímil")</f>
        <v>Abrir facsímil</v>
      </c>
      <c r="K1467" s="3" t="s">
        <v>67</v>
      </c>
    </row>
    <row r="1468" spans="1:11" ht="42" customHeight="1">
      <c r="A1468" s="2" t="s">
        <v>3737</v>
      </c>
      <c r="B1468" s="2" t="s">
        <v>3738</v>
      </c>
      <c r="C1468" s="2" t="s">
        <v>80</v>
      </c>
      <c r="D1468" s="2" t="s">
        <v>81</v>
      </c>
      <c r="E1468" s="5">
        <v>-29509</v>
      </c>
      <c r="F1468" s="3" t="s">
        <v>942</v>
      </c>
      <c r="G1468" s="3" t="s">
        <v>28</v>
      </c>
      <c r="H1468" s="2" t="s">
        <v>65</v>
      </c>
      <c r="I1468" s="2" t="s">
        <v>3739</v>
      </c>
      <c r="J1468" s="3" t="str">
        <f>HYPERLINK("https://www.boe.es/gazeta/dias/1819/03/16/pdfs/GMD-1819-32.pdf#page=8","Abrir facsímil")</f>
        <v>Abrir facsímil</v>
      </c>
      <c r="K1468" s="3" t="s">
        <v>67</v>
      </c>
    </row>
    <row r="1469" spans="1:11" ht="42" customHeight="1">
      <c r="A1469" s="2" t="s">
        <v>3740</v>
      </c>
      <c r="B1469" s="2" t="s">
        <v>3741</v>
      </c>
      <c r="C1469" s="2" t="s">
        <v>63</v>
      </c>
      <c r="D1469" s="2" t="s">
        <v>454</v>
      </c>
      <c r="E1469" s="5">
        <v>-29287</v>
      </c>
      <c r="F1469" s="3" t="s">
        <v>455</v>
      </c>
      <c r="G1469" s="3" t="s">
        <v>1113</v>
      </c>
      <c r="H1469" s="2" t="s">
        <v>65</v>
      </c>
      <c r="I1469" s="2" t="s">
        <v>3742</v>
      </c>
      <c r="J1469" s="3" t="str">
        <f>HYPERLINK("https://www.boe.es/gazeta/dias/1819/10/24/pdfs/GMD-1819-131E.pdf#page=7","Abrir facsímil")</f>
        <v>Abrir facsímil</v>
      </c>
      <c r="K1469" s="3" t="s">
        <v>67</v>
      </c>
    </row>
    <row r="1470" spans="1:11" ht="42" customHeight="1">
      <c r="A1470" s="2" t="s">
        <v>3743</v>
      </c>
      <c r="B1470" s="2" t="s">
        <v>3744</v>
      </c>
      <c r="C1470" s="2" t="s">
        <v>17</v>
      </c>
      <c r="D1470" s="2" t="s">
        <v>18</v>
      </c>
      <c r="E1470" s="5">
        <v>-29264</v>
      </c>
      <c r="F1470" s="3" t="s">
        <v>37</v>
      </c>
      <c r="G1470" s="3" t="s">
        <v>33</v>
      </c>
      <c r="H1470" s="2" t="s">
        <v>65</v>
      </c>
      <c r="I1470" s="2" t="s">
        <v>3745</v>
      </c>
      <c r="J1470" s="3" t="str">
        <f>HYPERLINK("https://www.boe.es/gazeta/dias/1819/11/16/pdfs/GMD-1819-141.pdf#page=6","Abrir facsímil")</f>
        <v>Abrir facsímil</v>
      </c>
      <c r="K1470" s="3" t="s">
        <v>67</v>
      </c>
    </row>
    <row r="1471" spans="1:11" ht="42" customHeight="1">
      <c r="A1471" s="2" t="s">
        <v>3746</v>
      </c>
      <c r="B1471" s="2" t="s">
        <v>3747</v>
      </c>
      <c r="C1471" s="2" t="s">
        <v>80</v>
      </c>
      <c r="D1471" s="2" t="s">
        <v>81</v>
      </c>
      <c r="E1471" s="5">
        <v>-29264</v>
      </c>
      <c r="F1471" s="3" t="s">
        <v>37</v>
      </c>
      <c r="G1471" s="3" t="s">
        <v>1794</v>
      </c>
      <c r="H1471" s="2" t="s">
        <v>65</v>
      </c>
      <c r="I1471" s="2" t="s">
        <v>3748</v>
      </c>
      <c r="J1471" s="3" t="str">
        <f>HYPERLINK("https://www.boe.es/gazeta/dias/1819/11/16/pdfs/GMD-1819-141.pdf#page=11","Abrir facsímil")</f>
        <v>Abrir facsímil</v>
      </c>
      <c r="K1471" s="3" t="s">
        <v>67</v>
      </c>
    </row>
    <row r="1472" spans="1:11" ht="42" customHeight="1">
      <c r="A1472" s="2" t="s">
        <v>3749</v>
      </c>
      <c r="B1472" s="2" t="s">
        <v>3750</v>
      </c>
      <c r="C1472" s="2" t="s">
        <v>63</v>
      </c>
      <c r="D1472" s="2" t="s">
        <v>43</v>
      </c>
      <c r="E1472" s="5">
        <v>-29330</v>
      </c>
      <c r="F1472" s="3" t="s">
        <v>1406</v>
      </c>
      <c r="G1472" s="3" t="s">
        <v>28</v>
      </c>
      <c r="H1472" s="2" t="s">
        <v>65</v>
      </c>
      <c r="I1472" s="2" t="s">
        <v>3751</v>
      </c>
      <c r="J1472" s="3" t="str">
        <f>HYPERLINK("https://www.boe.es/gazeta/dias/1819/09/11/pdfs/GMD-1819-111.pdf#page=8","Abrir facsímil")</f>
        <v>Abrir facsímil</v>
      </c>
      <c r="K1472" s="3" t="s">
        <v>67</v>
      </c>
    </row>
    <row r="1473" spans="1:11" ht="42" customHeight="1">
      <c r="A1473" s="2" t="s">
        <v>3752</v>
      </c>
      <c r="B1473" s="2" t="s">
        <v>3753</v>
      </c>
      <c r="C1473" s="2" t="s">
        <v>63</v>
      </c>
      <c r="D1473" s="2" t="s">
        <v>43</v>
      </c>
      <c r="E1473" s="5">
        <v>-29341</v>
      </c>
      <c r="F1473" s="3" t="s">
        <v>806</v>
      </c>
      <c r="G1473" s="3" t="s">
        <v>3754</v>
      </c>
      <c r="H1473" s="2" t="s">
        <v>65</v>
      </c>
      <c r="I1473" s="2" t="s">
        <v>3755</v>
      </c>
      <c r="J1473" s="3" t="str">
        <f>HYPERLINK("https://www.boe.es/gazeta/dias/1819/08/31/pdfs/GMD-1819-105.pdf#page=7","Abrir facsímil")</f>
        <v>Abrir facsímil</v>
      </c>
      <c r="K1473" s="3" t="s">
        <v>67</v>
      </c>
    </row>
    <row r="1474" spans="1:11" ht="42" customHeight="1">
      <c r="A1474" s="2" t="s">
        <v>3756</v>
      </c>
      <c r="B1474" s="2" t="s">
        <v>3757</v>
      </c>
      <c r="C1474" s="2" t="s">
        <v>63</v>
      </c>
      <c r="D1474" s="2" t="s">
        <v>43</v>
      </c>
      <c r="E1474" s="5">
        <v>-29220</v>
      </c>
      <c r="F1474" s="3" t="s">
        <v>397</v>
      </c>
      <c r="G1474" s="3" t="s">
        <v>28</v>
      </c>
      <c r="H1474" s="2" t="s">
        <v>65</v>
      </c>
      <c r="I1474" s="2" t="s">
        <v>3758</v>
      </c>
      <c r="J1474" s="3" t="str">
        <f>HYPERLINK("https://www.boe.es/gazeta/dias/1819/12/30/pdfs/GMD-1819-160.pdf#page=8","Abrir facsímil")</f>
        <v>Abrir facsímil</v>
      </c>
      <c r="K1474" s="3" t="s">
        <v>67</v>
      </c>
    </row>
    <row r="1475" spans="1:11" ht="42" customHeight="1">
      <c r="A1475" s="2" t="s">
        <v>3759</v>
      </c>
      <c r="B1475" s="2" t="s">
        <v>3760</v>
      </c>
      <c r="C1475" s="2" t="s">
        <v>63</v>
      </c>
      <c r="D1475" s="2" t="s">
        <v>43</v>
      </c>
      <c r="E1475" s="5">
        <v>-29519</v>
      </c>
      <c r="F1475" s="3" t="s">
        <v>142</v>
      </c>
      <c r="G1475" s="3" t="s">
        <v>28</v>
      </c>
      <c r="H1475" s="2" t="s">
        <v>65</v>
      </c>
      <c r="I1475" s="2" t="s">
        <v>3761</v>
      </c>
      <c r="J1475" s="3" t="str">
        <f>HYPERLINK("https://www.boe.es/gazeta/dias/1819/03/06/pdfs/GMD-1819-28.pdf#page=8","Abrir facsímil")</f>
        <v>Abrir facsímil</v>
      </c>
      <c r="K1475" s="3" t="s">
        <v>67</v>
      </c>
    </row>
    <row r="1476" spans="1:11" ht="42" customHeight="1">
      <c r="A1476" s="2" t="s">
        <v>3759</v>
      </c>
      <c r="B1476" s="2" t="s">
        <v>3760</v>
      </c>
      <c r="C1476" s="2" t="s">
        <v>136</v>
      </c>
      <c r="D1476" s="2" t="s">
        <v>18</v>
      </c>
      <c r="E1476" s="5">
        <v>-29505</v>
      </c>
      <c r="F1476" s="3" t="s">
        <v>597</v>
      </c>
      <c r="G1476" s="3" t="s">
        <v>55</v>
      </c>
      <c r="H1476" s="2" t="s">
        <v>65</v>
      </c>
      <c r="I1476" s="2" t="s">
        <v>3762</v>
      </c>
      <c r="J1476" s="3" t="str">
        <f>HYPERLINK("https://www.boe.es/gazeta/dias/1819/03/20/pdfs/GMD-1819-34.pdf#page=7","Abrir facsímil")</f>
        <v>Abrir facsímil</v>
      </c>
      <c r="K1476" s="3" t="s">
        <v>67</v>
      </c>
    </row>
    <row r="1477" spans="1:11" ht="42" customHeight="1">
      <c r="A1477" s="2" t="s">
        <v>3759</v>
      </c>
      <c r="B1477" s="2" t="s">
        <v>3760</v>
      </c>
      <c r="C1477" s="2" t="s">
        <v>63</v>
      </c>
      <c r="D1477" s="2" t="s">
        <v>43</v>
      </c>
      <c r="E1477" s="5">
        <v>-29437</v>
      </c>
      <c r="F1477" s="3" t="s">
        <v>1147</v>
      </c>
      <c r="G1477" s="3" t="s">
        <v>55</v>
      </c>
      <c r="H1477" s="2" t="s">
        <v>65</v>
      </c>
      <c r="I1477" s="2" t="s">
        <v>3763</v>
      </c>
      <c r="J1477" s="3" t="str">
        <f>HYPERLINK("https://www.boe.es/gazeta/dias/1819/05/27/pdfs/GMD-1819-63.pdf#page=7","Abrir facsímil")</f>
        <v>Abrir facsímil</v>
      </c>
      <c r="K1477" s="3" t="s">
        <v>67</v>
      </c>
    </row>
    <row r="1478" spans="1:11" ht="42" customHeight="1">
      <c r="A1478" s="2" t="s">
        <v>3759</v>
      </c>
      <c r="B1478" s="2" t="s">
        <v>3760</v>
      </c>
      <c r="C1478" s="2" t="s">
        <v>63</v>
      </c>
      <c r="D1478" s="2" t="s">
        <v>43</v>
      </c>
      <c r="E1478" s="5">
        <v>-29409</v>
      </c>
      <c r="F1478" s="3" t="s">
        <v>106</v>
      </c>
      <c r="G1478" s="3" t="s">
        <v>28</v>
      </c>
      <c r="H1478" s="2" t="s">
        <v>65</v>
      </c>
      <c r="I1478" s="2" t="s">
        <v>3764</v>
      </c>
      <c r="J1478" s="3" t="str">
        <f>HYPERLINK("https://www.boe.es/gazeta/dias/1819/06/24/pdfs/GMD-1819-76.pdf#page=8","Abrir facsímil")</f>
        <v>Abrir facsímil</v>
      </c>
      <c r="K1478" s="3" t="s">
        <v>67</v>
      </c>
    </row>
    <row r="1479" spans="1:11" ht="42" customHeight="1">
      <c r="A1479" s="2" t="s">
        <v>3759</v>
      </c>
      <c r="B1479" s="2" t="s">
        <v>3760</v>
      </c>
      <c r="C1479" s="2" t="s">
        <v>63</v>
      </c>
      <c r="D1479" s="2" t="s">
        <v>43</v>
      </c>
      <c r="E1479" s="5">
        <v>-29369</v>
      </c>
      <c r="F1479" s="3" t="s">
        <v>231</v>
      </c>
      <c r="G1479" s="3" t="s">
        <v>28</v>
      </c>
      <c r="H1479" s="2" t="s">
        <v>65</v>
      </c>
      <c r="I1479" s="2" t="s">
        <v>3765</v>
      </c>
      <c r="J1479" s="3" t="str">
        <f>HYPERLINK("https://www.boe.es/gazeta/dias/1819/08/03/pdfs/GMD-1819-93.pdf#page=8","Abrir facsímil")</f>
        <v>Abrir facsímil</v>
      </c>
      <c r="K1479" s="3" t="s">
        <v>67</v>
      </c>
    </row>
    <row r="1480" spans="1:11" ht="42" customHeight="1">
      <c r="A1480" s="2" t="s">
        <v>3759</v>
      </c>
      <c r="B1480" s="2" t="s">
        <v>3760</v>
      </c>
      <c r="C1480" s="2" t="s">
        <v>63</v>
      </c>
      <c r="D1480" s="2" t="s">
        <v>43</v>
      </c>
      <c r="E1480" s="5">
        <v>-29351</v>
      </c>
      <c r="F1480" s="3" t="s">
        <v>101</v>
      </c>
      <c r="G1480" s="3" t="s">
        <v>28</v>
      </c>
      <c r="H1480" s="2" t="s">
        <v>65</v>
      </c>
      <c r="I1480" s="2" t="s">
        <v>3766</v>
      </c>
      <c r="J1480" s="3" t="str">
        <f>HYPERLINK("https://www.boe.es/gazeta/dias/1819/08/21/pdfs/GMD-1819-101.pdf#page=8","Abrir facsímil")</f>
        <v>Abrir facsímil</v>
      </c>
      <c r="K1480" s="3" t="s">
        <v>67</v>
      </c>
    </row>
    <row r="1481" spans="1:11" ht="42" customHeight="1">
      <c r="A1481" s="2" t="s">
        <v>3759</v>
      </c>
      <c r="B1481" s="2" t="s">
        <v>3760</v>
      </c>
      <c r="C1481" s="2" t="s">
        <v>63</v>
      </c>
      <c r="D1481" s="2" t="s">
        <v>43</v>
      </c>
      <c r="E1481" s="5">
        <v>-29330</v>
      </c>
      <c r="F1481" s="3" t="s">
        <v>1406</v>
      </c>
      <c r="G1481" s="3" t="s">
        <v>28</v>
      </c>
      <c r="H1481" s="2" t="s">
        <v>65</v>
      </c>
      <c r="I1481" s="2" t="s">
        <v>3767</v>
      </c>
      <c r="J1481" s="3" t="str">
        <f>HYPERLINK("https://www.boe.es/gazeta/dias/1819/09/11/pdfs/GMD-1819-111.pdf#page=8","Abrir facsímil")</f>
        <v>Abrir facsímil</v>
      </c>
      <c r="K1481" s="3" t="s">
        <v>67</v>
      </c>
    </row>
    <row r="1482" spans="1:11" ht="42" customHeight="1">
      <c r="A1482" s="2" t="s">
        <v>3759</v>
      </c>
      <c r="B1482" s="2" t="s">
        <v>3760</v>
      </c>
      <c r="C1482" s="2" t="s">
        <v>63</v>
      </c>
      <c r="D1482" s="2" t="s">
        <v>43</v>
      </c>
      <c r="E1482" s="5">
        <v>-29327</v>
      </c>
      <c r="F1482" s="3" t="s">
        <v>620</v>
      </c>
      <c r="G1482" s="3" t="s">
        <v>55</v>
      </c>
      <c r="H1482" s="2" t="s">
        <v>65</v>
      </c>
      <c r="I1482" s="2" t="s">
        <v>3768</v>
      </c>
      <c r="J1482" s="3" t="str">
        <f>HYPERLINK("https://www.boe.es/gazeta/dias/1819/09/14/pdfs/GMD-1819-112.pdf#page=7","Abrir facsímil")</f>
        <v>Abrir facsímil</v>
      </c>
      <c r="K1482" s="3" t="s">
        <v>67</v>
      </c>
    </row>
    <row r="1483" spans="1:11" ht="42" customHeight="1">
      <c r="A1483" s="2" t="s">
        <v>3759</v>
      </c>
      <c r="B1483" s="2" t="s">
        <v>3760</v>
      </c>
      <c r="C1483" s="2" t="s">
        <v>63</v>
      </c>
      <c r="D1483" s="2" t="s">
        <v>43</v>
      </c>
      <c r="E1483" s="5">
        <v>-29290</v>
      </c>
      <c r="F1483" s="3" t="s">
        <v>622</v>
      </c>
      <c r="G1483" s="3" t="s">
        <v>28</v>
      </c>
      <c r="H1483" s="2" t="s">
        <v>65</v>
      </c>
      <c r="I1483" s="2" t="s">
        <v>3769</v>
      </c>
      <c r="J1483" s="3" t="str">
        <f>HYPERLINK("https://www.boe.es/gazeta/dias/1819/10/21/pdfs/GMD-1819-129.pdf#page=8","Abrir facsímil")</f>
        <v>Abrir facsímil</v>
      </c>
      <c r="K1483" s="3" t="s">
        <v>67</v>
      </c>
    </row>
    <row r="1484" spans="1:11" ht="42" customHeight="1">
      <c r="A1484" s="2" t="s">
        <v>3759</v>
      </c>
      <c r="B1484" s="2" t="s">
        <v>3760</v>
      </c>
      <c r="C1484" s="2" t="s">
        <v>63</v>
      </c>
      <c r="D1484" s="2" t="s">
        <v>43</v>
      </c>
      <c r="E1484" s="5">
        <v>-29288</v>
      </c>
      <c r="F1484" s="3" t="s">
        <v>334</v>
      </c>
      <c r="G1484" s="3" t="s">
        <v>28</v>
      </c>
      <c r="H1484" s="2" t="s">
        <v>65</v>
      </c>
      <c r="I1484" s="2" t="s">
        <v>3770</v>
      </c>
      <c r="J1484" s="3" t="str">
        <f>HYPERLINK("https://www.boe.es/gazeta/dias/1819/10/23/pdfs/GMD-1819-130.pdf#page=8","Abrir facsímil")</f>
        <v>Abrir facsímil</v>
      </c>
      <c r="K1484" s="3" t="s">
        <v>67</v>
      </c>
    </row>
    <row r="1485" spans="1:11" ht="42" customHeight="1">
      <c r="A1485" s="2" t="s">
        <v>3759</v>
      </c>
      <c r="B1485" s="2" t="s">
        <v>3760</v>
      </c>
      <c r="C1485" s="2" t="s">
        <v>63</v>
      </c>
      <c r="D1485" s="2" t="s">
        <v>43</v>
      </c>
      <c r="E1485" s="5">
        <v>-29285</v>
      </c>
      <c r="F1485" s="3" t="s">
        <v>578</v>
      </c>
      <c r="G1485" s="3" t="s">
        <v>28</v>
      </c>
      <c r="H1485" s="2" t="s">
        <v>65</v>
      </c>
      <c r="I1485" s="2" t="s">
        <v>3771</v>
      </c>
      <c r="J1485" s="3" t="str">
        <f>HYPERLINK("https://www.boe.es/gazeta/dias/1819/10/26/pdfs/GMD-1819-132.pdf#page=8","Abrir facsímil")</f>
        <v>Abrir facsímil</v>
      </c>
      <c r="K1485" s="3" t="s">
        <v>67</v>
      </c>
    </row>
    <row r="1486" spans="1:11" ht="42" customHeight="1">
      <c r="A1486" s="2" t="s">
        <v>3772</v>
      </c>
      <c r="B1486" s="2" t="s">
        <v>3773</v>
      </c>
      <c r="C1486" s="2" t="s">
        <v>63</v>
      </c>
      <c r="D1486" s="2" t="s">
        <v>43</v>
      </c>
      <c r="E1486" s="5">
        <v>-29255</v>
      </c>
      <c r="F1486" s="3" t="s">
        <v>357</v>
      </c>
      <c r="G1486" s="3" t="s">
        <v>28</v>
      </c>
      <c r="H1486" s="2" t="s">
        <v>65</v>
      </c>
      <c r="I1486" s="2" t="s">
        <v>3774</v>
      </c>
      <c r="J1486" s="3" t="str">
        <f>HYPERLINK("https://www.boe.es/gazeta/dias/1819/11/25/pdfs/GMD-1819-145.pdf#page=8","Abrir facsímil")</f>
        <v>Abrir facsímil</v>
      </c>
      <c r="K1486" s="3" t="s">
        <v>67</v>
      </c>
    </row>
    <row r="1487" spans="1:11" ht="42" customHeight="1">
      <c r="A1487" s="2" t="s">
        <v>3775</v>
      </c>
      <c r="B1487" s="2" t="s">
        <v>3776</v>
      </c>
      <c r="C1487" s="2" t="s">
        <v>63</v>
      </c>
      <c r="D1487" s="2" t="s">
        <v>43</v>
      </c>
      <c r="E1487" s="5">
        <v>-29250</v>
      </c>
      <c r="F1487" s="3" t="s">
        <v>312</v>
      </c>
      <c r="G1487" s="3" t="s">
        <v>313</v>
      </c>
      <c r="H1487" s="2" t="s">
        <v>65</v>
      </c>
      <c r="I1487" s="2" t="s">
        <v>3777</v>
      </c>
      <c r="J1487" s="3" t="str">
        <f>HYPERLINK("https://www.boe.es/gazeta/dias/1819/11/30/pdfs/GMD-1819-147.pdf#page=8","Abrir facsímil")</f>
        <v>Abrir facsímil</v>
      </c>
      <c r="K1487" s="3" t="s">
        <v>67</v>
      </c>
    </row>
    <row r="1488" spans="1:11" ht="42" customHeight="1">
      <c r="A1488" s="2" t="s">
        <v>3759</v>
      </c>
      <c r="B1488" s="2" t="s">
        <v>3760</v>
      </c>
      <c r="C1488" s="2" t="s">
        <v>63</v>
      </c>
      <c r="D1488" s="2" t="s">
        <v>43</v>
      </c>
      <c r="E1488" s="5">
        <v>-29243</v>
      </c>
      <c r="F1488" s="3" t="s">
        <v>2099</v>
      </c>
      <c r="G1488" s="3" t="s">
        <v>28</v>
      </c>
      <c r="H1488" s="2" t="s">
        <v>65</v>
      </c>
      <c r="I1488" s="2" t="s">
        <v>3778</v>
      </c>
      <c r="J1488" s="3" t="str">
        <f>HYPERLINK("https://www.boe.es/gazeta/dias/1819/12/07/pdfs/GMD-1819-150.pdf#page=8","Abrir facsímil")</f>
        <v>Abrir facsímil</v>
      </c>
      <c r="K1488" s="3" t="s">
        <v>67</v>
      </c>
    </row>
    <row r="1489" spans="1:11" ht="42" customHeight="1">
      <c r="A1489" s="2" t="s">
        <v>3759</v>
      </c>
      <c r="B1489" s="2" t="s">
        <v>3760</v>
      </c>
      <c r="C1489" s="2" t="s">
        <v>63</v>
      </c>
      <c r="D1489" s="2" t="s">
        <v>43</v>
      </c>
      <c r="E1489" s="5">
        <v>-29234</v>
      </c>
      <c r="F1489" s="3" t="s">
        <v>343</v>
      </c>
      <c r="G1489" s="3" t="s">
        <v>28</v>
      </c>
      <c r="H1489" s="2" t="s">
        <v>65</v>
      </c>
      <c r="I1489" s="2" t="s">
        <v>3779</v>
      </c>
      <c r="J1489" s="3" t="str">
        <f>HYPERLINK("https://www.boe.es/gazeta/dias/1819/12/16/pdfs/GMD-1819-154.pdf#page=8","Abrir facsímil")</f>
        <v>Abrir facsímil</v>
      </c>
      <c r="K1489" s="3" t="s">
        <v>67</v>
      </c>
    </row>
    <row r="1490" spans="1:11" ht="42" customHeight="1">
      <c r="A1490" s="2" t="s">
        <v>3780</v>
      </c>
      <c r="B1490" s="2" t="s">
        <v>3781</v>
      </c>
      <c r="C1490" s="2" t="s">
        <v>80</v>
      </c>
      <c r="D1490" s="2" t="s">
        <v>81</v>
      </c>
      <c r="E1490" s="5">
        <v>-29348</v>
      </c>
      <c r="F1490" s="3" t="s">
        <v>227</v>
      </c>
      <c r="G1490" s="3" t="s">
        <v>28</v>
      </c>
      <c r="H1490" s="2" t="s">
        <v>65</v>
      </c>
      <c r="I1490" s="2" t="s">
        <v>3782</v>
      </c>
      <c r="J1490" s="3" t="str">
        <f>HYPERLINK("https://www.boe.es/gazeta/dias/1819/08/24/pdfs/GMD-1819-102.pdf#page=8","Abrir facsímil")</f>
        <v>Abrir facsímil</v>
      </c>
      <c r="K1490" s="3" t="s">
        <v>67</v>
      </c>
    </row>
    <row r="1491" spans="1:11" ht="42" customHeight="1">
      <c r="A1491" s="2" t="s">
        <v>3783</v>
      </c>
      <c r="B1491" s="2" t="s">
        <v>3784</v>
      </c>
      <c r="C1491" s="2" t="s">
        <v>136</v>
      </c>
      <c r="D1491" s="2" t="s">
        <v>18</v>
      </c>
      <c r="E1491" s="5">
        <v>-29519</v>
      </c>
      <c r="F1491" s="3" t="s">
        <v>142</v>
      </c>
      <c r="G1491" s="3" t="s">
        <v>143</v>
      </c>
      <c r="H1491" s="2" t="s">
        <v>65</v>
      </c>
      <c r="I1491" s="2" t="s">
        <v>3785</v>
      </c>
      <c r="J1491" s="3" t="str">
        <f>HYPERLINK("https://www.boe.es/gazeta/dias/1819/03/06/pdfs/GMD-1819-28.pdf#page=7","Abrir facsímil")</f>
        <v>Abrir facsímil</v>
      </c>
      <c r="K1491" s="3" t="s">
        <v>67</v>
      </c>
    </row>
    <row r="1492" spans="1:11" ht="42" customHeight="1">
      <c r="A1492" s="2" t="s">
        <v>3786</v>
      </c>
      <c r="B1492" s="2" t="s">
        <v>3787</v>
      </c>
      <c r="C1492" s="2" t="s">
        <v>215</v>
      </c>
      <c r="D1492" s="2" t="s">
        <v>18</v>
      </c>
      <c r="E1492" s="5">
        <v>-29519</v>
      </c>
      <c r="F1492" s="3" t="s">
        <v>142</v>
      </c>
      <c r="G1492" s="3" t="s">
        <v>143</v>
      </c>
      <c r="H1492" s="2" t="s">
        <v>65</v>
      </c>
      <c r="I1492" s="2" t="s">
        <v>3788</v>
      </c>
      <c r="J1492" s="3" t="str">
        <f>HYPERLINK("https://www.boe.es/gazeta/dias/1819/03/06/pdfs/GMD-1819-28.pdf#page=7","Abrir facsímil")</f>
        <v>Abrir facsímil</v>
      </c>
      <c r="K1492" s="3" t="s">
        <v>67</v>
      </c>
    </row>
    <row r="1493" spans="1:11" ht="42" customHeight="1">
      <c r="A1493" s="2" t="s">
        <v>3789</v>
      </c>
      <c r="B1493" s="2" t="s">
        <v>3790</v>
      </c>
      <c r="C1493" s="2" t="s">
        <v>80</v>
      </c>
      <c r="D1493" s="2" t="s">
        <v>81</v>
      </c>
      <c r="E1493" s="5">
        <v>-29579</v>
      </c>
      <c r="F1493" s="3" t="s">
        <v>186</v>
      </c>
      <c r="G1493" s="3" t="s">
        <v>55</v>
      </c>
      <c r="H1493" s="2" t="s">
        <v>65</v>
      </c>
      <c r="I1493" s="2" t="s">
        <v>3791</v>
      </c>
      <c r="J1493" s="3" t="str">
        <f>HYPERLINK("https://www.boe.es/gazeta/dias/1819/01/05/pdfs/GMD-1819-2.pdf#page=7","Abrir facsímil")</f>
        <v>Abrir facsímil</v>
      </c>
      <c r="K1493" s="3" t="s">
        <v>67</v>
      </c>
    </row>
    <row r="1494" spans="1:11" ht="42" customHeight="1">
      <c r="A1494" s="2" t="s">
        <v>3792</v>
      </c>
      <c r="B1494" s="2" t="s">
        <v>3793</v>
      </c>
      <c r="C1494" s="2" t="s">
        <v>80</v>
      </c>
      <c r="D1494" s="2" t="s">
        <v>81</v>
      </c>
      <c r="E1494" s="5">
        <v>-29269</v>
      </c>
      <c r="F1494" s="3" t="s">
        <v>565</v>
      </c>
      <c r="G1494" s="3" t="s">
        <v>28</v>
      </c>
      <c r="H1494" s="2" t="s">
        <v>65</v>
      </c>
      <c r="I1494" s="2" t="s">
        <v>3794</v>
      </c>
      <c r="J1494" s="3" t="str">
        <f>HYPERLINK("https://www.boe.es/gazeta/dias/1819/11/11/pdfs/GMD-1819-139.pdf#page=8","Abrir facsímil")</f>
        <v>Abrir facsímil</v>
      </c>
      <c r="K1494" s="3" t="s">
        <v>67</v>
      </c>
    </row>
    <row r="1495" spans="1:11" ht="42" customHeight="1">
      <c r="A1495" s="2" t="s">
        <v>3795</v>
      </c>
      <c r="B1495" s="2" t="s">
        <v>3795</v>
      </c>
      <c r="C1495" s="2" t="s">
        <v>80</v>
      </c>
      <c r="D1495" s="2" t="s">
        <v>81</v>
      </c>
      <c r="E1495" s="5">
        <v>-29423</v>
      </c>
      <c r="F1495" s="3" t="s">
        <v>1205</v>
      </c>
      <c r="G1495" s="3" t="s">
        <v>2915</v>
      </c>
      <c r="H1495" s="2" t="s">
        <v>65</v>
      </c>
      <c r="I1495" s="2" t="s">
        <v>3796</v>
      </c>
      <c r="J1495" s="3" t="str">
        <f>HYPERLINK("https://www.boe.es/gazeta/dias/1819/06/10/pdfs/GMD-1819-69.pdf#page=6","Abrir facsímil")</f>
        <v>Abrir facsímil</v>
      </c>
      <c r="K1495" s="3" t="s">
        <v>67</v>
      </c>
    </row>
    <row r="1496" spans="1:11" ht="42" customHeight="1">
      <c r="A1496" s="2" t="s">
        <v>3797</v>
      </c>
      <c r="B1496" s="2" t="s">
        <v>3797</v>
      </c>
      <c r="C1496" s="2" t="s">
        <v>80</v>
      </c>
      <c r="D1496" s="2" t="s">
        <v>81</v>
      </c>
      <c r="E1496" s="5">
        <v>-29502</v>
      </c>
      <c r="F1496" s="3" t="s">
        <v>86</v>
      </c>
      <c r="G1496" s="3" t="s">
        <v>2658</v>
      </c>
      <c r="H1496" s="2" t="s">
        <v>65</v>
      </c>
      <c r="I1496" s="2" t="s">
        <v>3798</v>
      </c>
      <c r="J1496" s="3" t="str">
        <f>HYPERLINK("https://www.boe.es/gazeta/dias/1819/03/23/pdfs/GMD-1819-35.pdf#page=4","Abrir facsímil")</f>
        <v>Abrir facsímil</v>
      </c>
      <c r="K1496" s="3" t="s">
        <v>67</v>
      </c>
    </row>
    <row r="1497" spans="1:11" ht="42" customHeight="1">
      <c r="A1497" s="2" t="s">
        <v>3799</v>
      </c>
      <c r="B1497" s="2" t="s">
        <v>3799</v>
      </c>
      <c r="C1497" s="2" t="s">
        <v>80</v>
      </c>
      <c r="D1497" s="2" t="s">
        <v>81</v>
      </c>
      <c r="E1497" s="5">
        <v>-29502</v>
      </c>
      <c r="F1497" s="3" t="s">
        <v>86</v>
      </c>
      <c r="G1497" s="3" t="s">
        <v>2658</v>
      </c>
      <c r="H1497" s="2" t="s">
        <v>65</v>
      </c>
      <c r="I1497" s="2" t="s">
        <v>3800</v>
      </c>
      <c r="J1497" s="3" t="str">
        <f>HYPERLINK("https://www.boe.es/gazeta/dias/1819/03/23/pdfs/GMD-1819-35.pdf#page=4","Abrir facsímil")</f>
        <v>Abrir facsímil</v>
      </c>
      <c r="K1497" s="3" t="s">
        <v>67</v>
      </c>
    </row>
    <row r="1498" spans="1:11" ht="42" customHeight="1">
      <c r="A1498" s="2" t="s">
        <v>3801</v>
      </c>
      <c r="B1498" s="2" t="s">
        <v>3801</v>
      </c>
      <c r="C1498" s="2" t="s">
        <v>59</v>
      </c>
      <c r="D1498" s="2" t="s">
        <v>18</v>
      </c>
      <c r="E1498" s="5">
        <v>-29332</v>
      </c>
      <c r="F1498" s="3" t="s">
        <v>499</v>
      </c>
      <c r="G1498" s="3" t="s">
        <v>38</v>
      </c>
      <c r="H1498" s="2" t="s">
        <v>65</v>
      </c>
      <c r="I1498" s="2" t="s">
        <v>3802</v>
      </c>
      <c r="J1498" s="3" t="str">
        <f>HYPERLINK("https://www.boe.es/gazeta/dias/1819/09/09/pdfs/GMD-1819-110.pdf#page=5","Abrir facsímil")</f>
        <v>Abrir facsímil</v>
      </c>
      <c r="K1498" s="3" t="s">
        <v>67</v>
      </c>
    </row>
    <row r="1499" spans="1:11" ht="42" customHeight="1">
      <c r="A1499" s="2" t="s">
        <v>3803</v>
      </c>
      <c r="B1499" s="2" t="s">
        <v>3803</v>
      </c>
      <c r="C1499" s="2" t="s">
        <v>80</v>
      </c>
      <c r="D1499" s="2" t="s">
        <v>81</v>
      </c>
      <c r="E1499" s="5">
        <v>-29565</v>
      </c>
      <c r="F1499" s="3" t="s">
        <v>293</v>
      </c>
      <c r="G1499" s="3" t="s">
        <v>259</v>
      </c>
      <c r="H1499" s="2" t="s">
        <v>65</v>
      </c>
      <c r="I1499" s="2" t="s">
        <v>3804</v>
      </c>
      <c r="J1499" s="3" t="str">
        <f>HYPERLINK("https://www.boe.es/gazeta/dias/1819/01/19/pdfs/GMD-1819-8.pdf#page=2","Abrir facsímil")</f>
        <v>Abrir facsímil</v>
      </c>
      <c r="K1499" s="3" t="s">
        <v>67</v>
      </c>
    </row>
    <row r="1500" spans="1:11" ht="42" customHeight="1">
      <c r="A1500" s="2" t="s">
        <v>3803</v>
      </c>
      <c r="B1500" s="2" t="s">
        <v>3803</v>
      </c>
      <c r="C1500" s="2" t="s">
        <v>59</v>
      </c>
      <c r="D1500" s="2" t="s">
        <v>18</v>
      </c>
      <c r="E1500" s="5">
        <v>-29425</v>
      </c>
      <c r="F1500" s="3" t="s">
        <v>110</v>
      </c>
      <c r="G1500" s="3" t="s">
        <v>38</v>
      </c>
      <c r="H1500" s="2" t="s">
        <v>65</v>
      </c>
      <c r="I1500" s="2" t="s">
        <v>3805</v>
      </c>
      <c r="J1500" s="3" t="str">
        <f>HYPERLINK("https://www.boe.es/gazeta/dias/1819/06/08/pdfs/GMD-1819-68.pdf#page=5","Abrir facsímil")</f>
        <v>Abrir facsímil</v>
      </c>
      <c r="K1500" s="3" t="s">
        <v>67</v>
      </c>
    </row>
    <row r="1501" spans="1:11" ht="42" customHeight="1">
      <c r="A1501" s="2" t="s">
        <v>3806</v>
      </c>
      <c r="B1501" s="2" t="s">
        <v>3807</v>
      </c>
      <c r="C1501" s="2" t="s">
        <v>80</v>
      </c>
      <c r="D1501" s="2" t="s">
        <v>81</v>
      </c>
      <c r="E1501" s="5">
        <v>-29472</v>
      </c>
      <c r="F1501" s="3" t="s">
        <v>393</v>
      </c>
      <c r="G1501" s="3" t="s">
        <v>33</v>
      </c>
      <c r="H1501" s="2" t="s">
        <v>65</v>
      </c>
      <c r="I1501" s="2" t="s">
        <v>3808</v>
      </c>
      <c r="J1501" s="3" t="str">
        <f>HYPERLINK("https://www.boe.es/gazeta/dias/1819/04/22/pdfs/GMD-1819-48.pdf#page=6","Abrir facsímil")</f>
        <v>Abrir facsímil</v>
      </c>
      <c r="K1501" s="3" t="s">
        <v>67</v>
      </c>
    </row>
    <row r="1502" spans="1:11" ht="42" customHeight="1">
      <c r="A1502" s="2" t="s">
        <v>3809</v>
      </c>
      <c r="B1502" s="2" t="s">
        <v>3809</v>
      </c>
      <c r="C1502" s="2" t="s">
        <v>26</v>
      </c>
      <c r="D1502" s="2" t="s">
        <v>18</v>
      </c>
      <c r="E1502" s="5">
        <v>-29486</v>
      </c>
      <c r="F1502" s="3" t="s">
        <v>330</v>
      </c>
      <c r="G1502" s="3" t="s">
        <v>102</v>
      </c>
      <c r="H1502" s="2" t="s">
        <v>65</v>
      </c>
      <c r="I1502" s="2" t="s">
        <v>3810</v>
      </c>
      <c r="J1502" s="3" t="str">
        <f>HYPERLINK("https://www.boe.es/gazeta/dias/1819/04/08/pdfs/GMD-1819-42.pdf#page=3","Abrir facsímil")</f>
        <v>Abrir facsímil</v>
      </c>
      <c r="K1502" s="3" t="s">
        <v>67</v>
      </c>
    </row>
    <row r="1503" spans="1:11" ht="42" customHeight="1">
      <c r="A1503" s="2" t="s">
        <v>3811</v>
      </c>
      <c r="B1503" s="2" t="s">
        <v>3812</v>
      </c>
      <c r="C1503" s="2" t="s">
        <v>63</v>
      </c>
      <c r="D1503" s="2" t="s">
        <v>43</v>
      </c>
      <c r="E1503" s="5">
        <v>-29507</v>
      </c>
      <c r="F1503" s="3" t="s">
        <v>1928</v>
      </c>
      <c r="G1503" s="3" t="s">
        <v>33</v>
      </c>
      <c r="H1503" s="2" t="s">
        <v>65</v>
      </c>
      <c r="I1503" s="2" t="s">
        <v>3813</v>
      </c>
      <c r="J1503" s="3" t="str">
        <f>HYPERLINK("https://www.boe.es/gazeta/dias/1819/03/18/pdfs/GMD-1819-33.pdf#page=6","Abrir facsímil")</f>
        <v>Abrir facsímil</v>
      </c>
      <c r="K1503" s="3" t="s">
        <v>67</v>
      </c>
    </row>
    <row r="1504" spans="1:11" ht="42" customHeight="1">
      <c r="A1504" s="2" t="s">
        <v>3814</v>
      </c>
      <c r="B1504" s="2" t="s">
        <v>3814</v>
      </c>
      <c r="C1504" s="2" t="s">
        <v>80</v>
      </c>
      <c r="D1504" s="2" t="s">
        <v>81</v>
      </c>
      <c r="E1504" s="5">
        <v>-29341</v>
      </c>
      <c r="F1504" s="3" t="s">
        <v>806</v>
      </c>
      <c r="G1504" s="3" t="s">
        <v>102</v>
      </c>
      <c r="H1504" s="2" t="s">
        <v>65</v>
      </c>
      <c r="I1504" s="2" t="s">
        <v>3815</v>
      </c>
      <c r="J1504" s="3" t="str">
        <f>HYPERLINK("https://www.boe.es/gazeta/dias/1819/08/31/pdfs/GMD-1819-105.pdf#page=3","Abrir facsímil")</f>
        <v>Abrir facsímil</v>
      </c>
      <c r="K1504" s="3" t="s">
        <v>67</v>
      </c>
    </row>
    <row r="1505" spans="1:11" ht="42" customHeight="1">
      <c r="A1505" s="2" t="s">
        <v>3816</v>
      </c>
      <c r="B1505" s="2" t="s">
        <v>3816</v>
      </c>
      <c r="C1505" s="2" t="s">
        <v>26</v>
      </c>
      <c r="D1505" s="2" t="s">
        <v>18</v>
      </c>
      <c r="E1505" s="5">
        <v>-29488</v>
      </c>
      <c r="F1505" s="3" t="s">
        <v>27</v>
      </c>
      <c r="G1505" s="3" t="s">
        <v>1856</v>
      </c>
      <c r="H1505" s="2" t="s">
        <v>65</v>
      </c>
      <c r="I1505" s="2" t="s">
        <v>3817</v>
      </c>
      <c r="J1505" s="3" t="str">
        <f>HYPERLINK("https://www.boe.es/gazeta/dias/1819/04/06/pdfs/GMD-1819-41.pdf#page=2","Abrir facsímil")</f>
        <v>Abrir facsímil</v>
      </c>
      <c r="K1505" s="3" t="s">
        <v>67</v>
      </c>
    </row>
    <row r="1506" spans="1:11" ht="42" customHeight="1">
      <c r="A1506" s="2" t="s">
        <v>3818</v>
      </c>
      <c r="B1506" s="2" t="s">
        <v>3819</v>
      </c>
      <c r="C1506" s="2" t="s">
        <v>59</v>
      </c>
      <c r="D1506" s="2" t="s">
        <v>18</v>
      </c>
      <c r="E1506" s="5">
        <v>-29465</v>
      </c>
      <c r="F1506" s="3" t="s">
        <v>1934</v>
      </c>
      <c r="G1506" s="3" t="s">
        <v>38</v>
      </c>
      <c r="H1506" s="2" t="s">
        <v>21</v>
      </c>
      <c r="I1506" s="2" t="s">
        <v>3820</v>
      </c>
      <c r="J1506" s="3" t="str">
        <f>HYPERLINK("https://www.boe.es/gazeta/dias/1819/04/29/pdfs/GMD-1819-51.pdf#page=5","Abrir facsímil")</f>
        <v>Abrir facsímil</v>
      </c>
      <c r="K1506" s="3" t="s">
        <v>23</v>
      </c>
    </row>
    <row r="1507" spans="1:11" ht="42" customHeight="1">
      <c r="A1507" s="2" t="s">
        <v>3821</v>
      </c>
      <c r="B1507" s="2" t="s">
        <v>3822</v>
      </c>
      <c r="C1507" s="2" t="s">
        <v>59</v>
      </c>
      <c r="D1507" s="2" t="s">
        <v>18</v>
      </c>
      <c r="E1507" s="5">
        <v>-29537</v>
      </c>
      <c r="F1507" s="3" t="s">
        <v>593</v>
      </c>
      <c r="G1507" s="3" t="s">
        <v>20</v>
      </c>
      <c r="H1507" s="2" t="s">
        <v>65</v>
      </c>
      <c r="I1507" s="2" t="s">
        <v>3823</v>
      </c>
      <c r="J1507" s="3" t="str">
        <f>HYPERLINK("https://www.boe.es/gazeta/dias/1819/02/16/pdfs/GMD-1819-20.pdf#page=10","Abrir facsímil")</f>
        <v>Abrir facsímil</v>
      </c>
      <c r="K1507" s="3" t="s">
        <v>67</v>
      </c>
    </row>
    <row r="1508" spans="1:11" ht="42" customHeight="1">
      <c r="A1508" s="2" t="s">
        <v>3824</v>
      </c>
      <c r="B1508" s="2" t="s">
        <v>3825</v>
      </c>
      <c r="C1508" s="2" t="s">
        <v>80</v>
      </c>
      <c r="D1508" s="2" t="s">
        <v>81</v>
      </c>
      <c r="E1508" s="5">
        <v>-29514</v>
      </c>
      <c r="F1508" s="3" t="s">
        <v>595</v>
      </c>
      <c r="G1508" s="3" t="s">
        <v>28</v>
      </c>
      <c r="H1508" s="2" t="s">
        <v>65</v>
      </c>
      <c r="I1508" s="2" t="s">
        <v>3826</v>
      </c>
      <c r="J1508" s="3" t="str">
        <f>HYPERLINK("https://www.boe.es/gazeta/dias/1819/03/11/pdfs/GMD-1819-30.pdf#page=8","Abrir facsímil")</f>
        <v>Abrir facsímil</v>
      </c>
      <c r="K1508" s="3" t="s">
        <v>67</v>
      </c>
    </row>
    <row r="1509" spans="1:11" ht="42" customHeight="1">
      <c r="A1509" s="2" t="s">
        <v>3827</v>
      </c>
      <c r="B1509" s="2" t="s">
        <v>3828</v>
      </c>
      <c r="C1509" s="2" t="s">
        <v>63</v>
      </c>
      <c r="D1509" s="2" t="s">
        <v>43</v>
      </c>
      <c r="E1509" s="5">
        <v>-29435</v>
      </c>
      <c r="F1509" s="3" t="s">
        <v>191</v>
      </c>
      <c r="G1509" s="3" t="s">
        <v>33</v>
      </c>
      <c r="H1509" s="2" t="s">
        <v>65</v>
      </c>
      <c r="I1509" s="2" t="s">
        <v>3829</v>
      </c>
      <c r="J1509" s="3" t="str">
        <f>HYPERLINK("https://www.boe.es/gazeta/dias/1819/05/29/pdfs/GMD-1819-64.pdf#page=6","Abrir facsímil")</f>
        <v>Abrir facsímil</v>
      </c>
      <c r="K1509" s="3" t="s">
        <v>67</v>
      </c>
    </row>
    <row r="1510" spans="1:11" ht="42" customHeight="1">
      <c r="A1510" s="2" t="s">
        <v>3830</v>
      </c>
      <c r="B1510" s="2" t="s">
        <v>3831</v>
      </c>
      <c r="C1510" s="2" t="s">
        <v>63</v>
      </c>
      <c r="D1510" s="2" t="s">
        <v>43</v>
      </c>
      <c r="E1510" s="5">
        <v>-29414</v>
      </c>
      <c r="F1510" s="3" t="s">
        <v>732</v>
      </c>
      <c r="G1510" s="3" t="s">
        <v>55</v>
      </c>
      <c r="H1510" s="2" t="s">
        <v>65</v>
      </c>
      <c r="I1510" s="2" t="s">
        <v>3832</v>
      </c>
      <c r="J1510" s="3" t="str">
        <f>HYPERLINK("https://www.boe.es/gazeta/dias/1819/06/19/pdfs/GMD-1819-74.pdf#page=7","Abrir facsímil")</f>
        <v>Abrir facsímil</v>
      </c>
      <c r="K1510" s="3" t="s">
        <v>67</v>
      </c>
    </row>
    <row r="1511" spans="1:11" ht="42" customHeight="1">
      <c r="A1511" s="2" t="s">
        <v>3833</v>
      </c>
      <c r="B1511" s="2" t="s">
        <v>3834</v>
      </c>
      <c r="C1511" s="2" t="s">
        <v>26</v>
      </c>
      <c r="D1511" s="2" t="s">
        <v>454</v>
      </c>
      <c r="E1511" s="5">
        <v>-29287</v>
      </c>
      <c r="F1511" s="3" t="s">
        <v>455</v>
      </c>
      <c r="G1511" s="3" t="s">
        <v>20</v>
      </c>
      <c r="H1511" s="2" t="s">
        <v>65</v>
      </c>
      <c r="I1511" s="2" t="s">
        <v>3835</v>
      </c>
      <c r="J1511" s="3" t="str">
        <f>HYPERLINK("https://www.boe.es/gazeta/dias/1819/10/24/pdfs/GMD-1819-131E.pdf#page=10","Abrir facsímil")</f>
        <v>Abrir facsímil</v>
      </c>
      <c r="K1511" s="3" t="s">
        <v>67</v>
      </c>
    </row>
    <row r="1512" spans="1:11" ht="42" customHeight="1">
      <c r="A1512" s="2" t="s">
        <v>3836</v>
      </c>
      <c r="B1512" s="2" t="s">
        <v>3837</v>
      </c>
      <c r="C1512" s="2" t="s">
        <v>80</v>
      </c>
      <c r="D1512" s="2" t="s">
        <v>81</v>
      </c>
      <c r="E1512" s="5">
        <v>-29442</v>
      </c>
      <c r="F1512" s="3" t="s">
        <v>427</v>
      </c>
      <c r="G1512" s="3" t="s">
        <v>38</v>
      </c>
      <c r="H1512" s="2" t="s">
        <v>65</v>
      </c>
      <c r="I1512" s="2" t="s">
        <v>3838</v>
      </c>
      <c r="J1512" s="3" t="str">
        <f>HYPERLINK("https://www.boe.es/gazeta/dias/1819/05/22/pdfs/GMD-1819-61.pdf#page=5","Abrir facsímil")</f>
        <v>Abrir facsímil</v>
      </c>
      <c r="K1512" s="3" t="s">
        <v>67</v>
      </c>
    </row>
    <row r="1513" spans="1:11" ht="42" customHeight="1">
      <c r="A1513" s="2" t="s">
        <v>3839</v>
      </c>
      <c r="B1513" s="2" t="s">
        <v>3840</v>
      </c>
      <c r="C1513" s="2" t="s">
        <v>26</v>
      </c>
      <c r="D1513" s="2" t="s">
        <v>454</v>
      </c>
      <c r="E1513" s="5">
        <v>-29287</v>
      </c>
      <c r="F1513" s="3" t="s">
        <v>455</v>
      </c>
      <c r="G1513" s="3" t="s">
        <v>20</v>
      </c>
      <c r="H1513" s="2" t="s">
        <v>65</v>
      </c>
      <c r="I1513" s="2" t="s">
        <v>3841</v>
      </c>
      <c r="J1513" s="3" t="str">
        <f>HYPERLINK("https://www.boe.es/gazeta/dias/1819/10/24/pdfs/GMD-1819-131E.pdf#page=10","Abrir facsímil")</f>
        <v>Abrir facsímil</v>
      </c>
      <c r="K1513" s="3" t="s">
        <v>67</v>
      </c>
    </row>
    <row r="1514" spans="1:11" ht="42" customHeight="1">
      <c r="A1514" s="2" t="s">
        <v>3839</v>
      </c>
      <c r="B1514" s="2" t="s">
        <v>3840</v>
      </c>
      <c r="C1514" s="2" t="s">
        <v>59</v>
      </c>
      <c r="D1514" s="2" t="s">
        <v>18</v>
      </c>
      <c r="E1514" s="5">
        <v>-29269</v>
      </c>
      <c r="F1514" s="3" t="s">
        <v>565</v>
      </c>
      <c r="G1514" s="3" t="s">
        <v>38</v>
      </c>
      <c r="H1514" s="2" t="s">
        <v>65</v>
      </c>
      <c r="I1514" s="2" t="s">
        <v>3842</v>
      </c>
      <c r="J1514" s="3" t="str">
        <f>HYPERLINK("https://www.boe.es/gazeta/dias/1819/11/11/pdfs/GMD-1819-139.pdf#page=5","Abrir facsímil")</f>
        <v>Abrir facsímil</v>
      </c>
      <c r="K1514" s="3" t="s">
        <v>67</v>
      </c>
    </row>
    <row r="1515" spans="1:11" ht="42" customHeight="1">
      <c r="A1515" s="2" t="s">
        <v>3843</v>
      </c>
      <c r="B1515" s="2" t="s">
        <v>3844</v>
      </c>
      <c r="C1515" s="2" t="s">
        <v>59</v>
      </c>
      <c r="D1515" s="2" t="s">
        <v>18</v>
      </c>
      <c r="E1515" s="5">
        <v>-29292</v>
      </c>
      <c r="F1515" s="3" t="s">
        <v>875</v>
      </c>
      <c r="G1515" s="3" t="s">
        <v>28</v>
      </c>
      <c r="H1515" s="2" t="s">
        <v>65</v>
      </c>
      <c r="I1515" s="2" t="s">
        <v>3845</v>
      </c>
      <c r="J1515" s="3" t="str">
        <f>HYPERLINK("https://www.boe.es/gazeta/dias/1819/10/19/pdfs/GMD-1819-128.pdf#page=8","Abrir facsímil")</f>
        <v>Abrir facsímil</v>
      </c>
      <c r="K1515" s="3" t="s">
        <v>67</v>
      </c>
    </row>
    <row r="1516" spans="1:11" ht="42" customHeight="1">
      <c r="A1516" s="2" t="s">
        <v>3846</v>
      </c>
      <c r="B1516" s="2" t="s">
        <v>3847</v>
      </c>
      <c r="C1516" s="2" t="s">
        <v>80</v>
      </c>
      <c r="D1516" s="2" t="s">
        <v>81</v>
      </c>
      <c r="E1516" s="5">
        <v>-29421</v>
      </c>
      <c r="F1516" s="3" t="s">
        <v>1972</v>
      </c>
      <c r="G1516" s="3" t="s">
        <v>2551</v>
      </c>
      <c r="H1516" s="2" t="s">
        <v>65</v>
      </c>
      <c r="I1516" s="2" t="s">
        <v>3848</v>
      </c>
      <c r="J1516" s="3" t="str">
        <f>HYPERLINK("https://www.boe.es/gazeta/dias/1819/06/12/pdfs/GMD-1819-70.pdf#page=8","Abrir facsímil")</f>
        <v>Abrir facsímil</v>
      </c>
      <c r="K1516" s="3" t="s">
        <v>67</v>
      </c>
    </row>
    <row r="1517" spans="1:11" ht="42" customHeight="1">
      <c r="A1517" s="2" t="s">
        <v>3849</v>
      </c>
      <c r="B1517" s="2" t="s">
        <v>3850</v>
      </c>
      <c r="C1517" s="2" t="s">
        <v>63</v>
      </c>
      <c r="D1517" s="2" t="s">
        <v>43</v>
      </c>
      <c r="E1517" s="5">
        <v>-29442</v>
      </c>
      <c r="F1517" s="3" t="s">
        <v>427</v>
      </c>
      <c r="G1517" s="3" t="s">
        <v>28</v>
      </c>
      <c r="H1517" s="2" t="s">
        <v>65</v>
      </c>
      <c r="I1517" s="2" t="s">
        <v>3851</v>
      </c>
      <c r="J1517" s="3" t="str">
        <f>HYPERLINK("https://www.boe.es/gazeta/dias/1819/05/22/pdfs/GMD-1819-61.pdf#page=8","Abrir facsímil")</f>
        <v>Abrir facsímil</v>
      </c>
      <c r="K1517" s="3" t="s">
        <v>67</v>
      </c>
    </row>
    <row r="1518" spans="1:11" ht="42" customHeight="1">
      <c r="A1518" s="2" t="s">
        <v>3852</v>
      </c>
      <c r="B1518" s="2" t="s">
        <v>3852</v>
      </c>
      <c r="C1518" s="2" t="s">
        <v>80</v>
      </c>
      <c r="D1518" s="2" t="s">
        <v>81</v>
      </c>
      <c r="E1518" s="5">
        <v>-29306</v>
      </c>
      <c r="F1518" s="3" t="s">
        <v>303</v>
      </c>
      <c r="G1518" s="3" t="s">
        <v>239</v>
      </c>
      <c r="H1518" s="2" t="s">
        <v>65</v>
      </c>
      <c r="I1518" s="2" t="s">
        <v>3853</v>
      </c>
      <c r="J1518" s="3" t="str">
        <f>HYPERLINK("https://www.boe.es/gazeta/dias/1819/10/05/pdfs/GMD-1819-122.pdf#page=1","Abrir facsímil")</f>
        <v>Abrir facsímil</v>
      </c>
      <c r="K1518" s="3" t="s">
        <v>67</v>
      </c>
    </row>
    <row r="1519" spans="1:11" ht="42" customHeight="1">
      <c r="A1519" s="2" t="s">
        <v>3854</v>
      </c>
      <c r="B1519" s="2" t="s">
        <v>3854</v>
      </c>
      <c r="C1519" s="2" t="s">
        <v>59</v>
      </c>
      <c r="D1519" s="2" t="s">
        <v>18</v>
      </c>
      <c r="E1519" s="5">
        <v>-29402</v>
      </c>
      <c r="F1519" s="3" t="s">
        <v>1091</v>
      </c>
      <c r="G1519" s="3" t="s">
        <v>259</v>
      </c>
      <c r="H1519" s="2" t="s">
        <v>65</v>
      </c>
      <c r="I1519" s="2" t="s">
        <v>3855</v>
      </c>
      <c r="J1519" s="3" t="str">
        <f>HYPERLINK("https://www.boe.es/gazeta/dias/1819/07/01/pdfs/GMD-1819-79.pdf#page=2","Abrir facsímil")</f>
        <v>Abrir facsímil</v>
      </c>
      <c r="K1519" s="3" t="s">
        <v>67</v>
      </c>
    </row>
    <row r="1520" spans="1:11" ht="42" customHeight="1">
      <c r="A1520" s="2" t="s">
        <v>3856</v>
      </c>
      <c r="B1520" s="2" t="s">
        <v>3857</v>
      </c>
      <c r="C1520" s="2" t="s">
        <v>246</v>
      </c>
      <c r="D1520" s="2" t="s">
        <v>18</v>
      </c>
      <c r="E1520" s="5">
        <v>-29495</v>
      </c>
      <c r="F1520" s="3" t="s">
        <v>992</v>
      </c>
      <c r="G1520" s="3" t="s">
        <v>20</v>
      </c>
      <c r="H1520" s="2" t="s">
        <v>65</v>
      </c>
      <c r="I1520" s="2" t="s">
        <v>3858</v>
      </c>
      <c r="J1520" s="3" t="str">
        <f>HYPERLINK("https://www.boe.es/gazeta/dias/1819/03/30/pdfs/GMD-1819-38.pdf#page=10","Abrir facsímil")</f>
        <v>Abrir facsímil</v>
      </c>
      <c r="K1520" s="3" t="s">
        <v>67</v>
      </c>
    </row>
    <row r="1521" spans="1:11" ht="42" customHeight="1">
      <c r="A1521" s="2" t="s">
        <v>3856</v>
      </c>
      <c r="B1521" s="2" t="s">
        <v>3857</v>
      </c>
      <c r="C1521" s="2" t="s">
        <v>136</v>
      </c>
      <c r="D1521" s="2" t="s">
        <v>18</v>
      </c>
      <c r="E1521" s="5">
        <v>-29474</v>
      </c>
      <c r="F1521" s="3" t="s">
        <v>216</v>
      </c>
      <c r="G1521" s="3" t="s">
        <v>33</v>
      </c>
      <c r="H1521" s="2" t="s">
        <v>65</v>
      </c>
      <c r="I1521" s="2" t="s">
        <v>3859</v>
      </c>
      <c r="J1521" s="3" t="str">
        <f>HYPERLINK("https://www.boe.es/gazeta/dias/1819/04/20/pdfs/GMD-1819-47.pdf#page=6","Abrir facsímil")</f>
        <v>Abrir facsímil</v>
      </c>
      <c r="K1521" s="3" t="s">
        <v>67</v>
      </c>
    </row>
    <row r="1522" spans="1:11" ht="42" customHeight="1">
      <c r="A1522" s="2" t="s">
        <v>3860</v>
      </c>
      <c r="B1522" s="2" t="s">
        <v>3861</v>
      </c>
      <c r="C1522" s="2" t="s">
        <v>17</v>
      </c>
      <c r="D1522" s="2" t="s">
        <v>18</v>
      </c>
      <c r="E1522" s="5">
        <v>-29264</v>
      </c>
      <c r="F1522" s="3" t="s">
        <v>37</v>
      </c>
      <c r="G1522" s="3" t="s">
        <v>38</v>
      </c>
      <c r="H1522" s="2" t="s">
        <v>21</v>
      </c>
      <c r="I1522" s="2" t="s">
        <v>3862</v>
      </c>
      <c r="J1522" s="3" t="str">
        <f>HYPERLINK("https://www.boe.es/gazeta/dias/1819/11/16/pdfs/GMD-1819-141.pdf#page=5","Abrir facsímil")</f>
        <v>Abrir facsímil</v>
      </c>
      <c r="K1522" s="3" t="s">
        <v>23</v>
      </c>
    </row>
    <row r="1523" spans="1:11" ht="42" customHeight="1">
      <c r="A1523" s="2" t="s">
        <v>3863</v>
      </c>
      <c r="B1523" s="2" t="s">
        <v>3863</v>
      </c>
      <c r="C1523" s="2" t="s">
        <v>63</v>
      </c>
      <c r="D1523" s="2" t="s">
        <v>43</v>
      </c>
      <c r="E1523" s="5">
        <v>-29519</v>
      </c>
      <c r="F1523" s="3" t="s">
        <v>142</v>
      </c>
      <c r="G1523" s="3" t="s">
        <v>102</v>
      </c>
      <c r="H1523" s="2" t="s">
        <v>65</v>
      </c>
      <c r="I1523" s="2" t="s">
        <v>3864</v>
      </c>
      <c r="J1523" s="3" t="str">
        <f>HYPERLINK("https://www.boe.es/gazeta/dias/1819/03/06/pdfs/GMD-1819-28.pdf#page=3","Abrir facsímil")</f>
        <v>Abrir facsímil</v>
      </c>
      <c r="K1523" s="3" t="s">
        <v>67</v>
      </c>
    </row>
    <row r="1524" spans="1:11" ht="42" customHeight="1">
      <c r="A1524" s="2" t="s">
        <v>3865</v>
      </c>
      <c r="B1524" s="2" t="s">
        <v>3866</v>
      </c>
      <c r="C1524" s="2" t="s">
        <v>136</v>
      </c>
      <c r="D1524" s="2" t="s">
        <v>18</v>
      </c>
      <c r="E1524" s="5">
        <v>-29257</v>
      </c>
      <c r="F1524" s="3" t="s">
        <v>73</v>
      </c>
      <c r="G1524" s="3" t="s">
        <v>138</v>
      </c>
      <c r="H1524" s="2" t="s">
        <v>65</v>
      </c>
      <c r="I1524" s="2" t="s">
        <v>3867</v>
      </c>
      <c r="J1524" s="3" t="str">
        <f>HYPERLINK("https://www.boe.es/gazeta/dias/1819/11/23/pdfs/GMD-1819-144.pdf#page=12","Abrir facsímil")</f>
        <v>Abrir facsímil</v>
      </c>
      <c r="K1524" s="3" t="s">
        <v>67</v>
      </c>
    </row>
    <row r="1525" spans="1:11" ht="42" customHeight="1">
      <c r="A1525" s="2" t="s">
        <v>3868</v>
      </c>
      <c r="B1525" s="2" t="s">
        <v>3869</v>
      </c>
      <c r="C1525" s="2" t="s">
        <v>80</v>
      </c>
      <c r="D1525" s="2" t="s">
        <v>81</v>
      </c>
      <c r="E1525" s="5">
        <v>-29348</v>
      </c>
      <c r="F1525" s="3" t="s">
        <v>227</v>
      </c>
      <c r="G1525" s="3" t="s">
        <v>38</v>
      </c>
      <c r="H1525" s="2" t="s">
        <v>65</v>
      </c>
      <c r="I1525" s="2" t="s">
        <v>3870</v>
      </c>
      <c r="J1525" s="3" t="str">
        <f>HYPERLINK("https://www.boe.es/gazeta/dias/1819/08/24/pdfs/GMD-1819-102.pdf#page=5","Abrir facsímil")</f>
        <v>Abrir facsímil</v>
      </c>
      <c r="K1525" s="3" t="s">
        <v>67</v>
      </c>
    </row>
    <row r="1526" spans="1:11" ht="42" customHeight="1">
      <c r="A1526" s="2" t="s">
        <v>3871</v>
      </c>
      <c r="B1526" s="2" t="s">
        <v>3872</v>
      </c>
      <c r="C1526" s="2" t="s">
        <v>80</v>
      </c>
      <c r="D1526" s="2" t="s">
        <v>81</v>
      </c>
      <c r="E1526" s="5">
        <v>-29528</v>
      </c>
      <c r="F1526" s="3" t="s">
        <v>708</v>
      </c>
      <c r="G1526" s="3" t="s">
        <v>55</v>
      </c>
      <c r="H1526" s="2" t="s">
        <v>65</v>
      </c>
      <c r="I1526" s="2" t="s">
        <v>3873</v>
      </c>
      <c r="J1526" s="3" t="str">
        <f>HYPERLINK("https://www.boe.es/gazeta/dias/1819/02/25/pdfs/GMD-1819-24.pdf#page=7","Abrir facsímil")</f>
        <v>Abrir facsímil</v>
      </c>
      <c r="K1526" s="3" t="s">
        <v>67</v>
      </c>
    </row>
    <row r="1527" spans="1:11" ht="42" customHeight="1">
      <c r="A1527" s="2" t="s">
        <v>3874</v>
      </c>
      <c r="B1527" s="2" t="s">
        <v>3874</v>
      </c>
      <c r="C1527" s="2" t="s">
        <v>80</v>
      </c>
      <c r="D1527" s="2" t="s">
        <v>81</v>
      </c>
      <c r="E1527" s="5">
        <v>-29330</v>
      </c>
      <c r="F1527" s="3" t="s">
        <v>1406</v>
      </c>
      <c r="G1527" s="3" t="s">
        <v>259</v>
      </c>
      <c r="H1527" s="2" t="s">
        <v>65</v>
      </c>
      <c r="I1527" s="2" t="s">
        <v>3875</v>
      </c>
      <c r="J1527" s="3" t="str">
        <f>HYPERLINK("https://www.boe.es/gazeta/dias/1819/09/11/pdfs/GMD-1819-111.pdf#page=2","Abrir facsímil")</f>
        <v>Abrir facsímil</v>
      </c>
      <c r="K1527" s="3" t="s">
        <v>67</v>
      </c>
    </row>
    <row r="1528" spans="1:11" ht="42" customHeight="1">
      <c r="A1528" s="2" t="s">
        <v>3876</v>
      </c>
      <c r="B1528" s="2" t="s">
        <v>3876</v>
      </c>
      <c r="C1528" s="2" t="s">
        <v>63</v>
      </c>
      <c r="D1528" s="2" t="s">
        <v>43</v>
      </c>
      <c r="E1528" s="5">
        <v>-29582</v>
      </c>
      <c r="F1528" s="3" t="s">
        <v>376</v>
      </c>
      <c r="G1528" s="3" t="s">
        <v>239</v>
      </c>
      <c r="H1528" s="2" t="s">
        <v>65</v>
      </c>
      <c r="I1528" s="2" t="s">
        <v>3877</v>
      </c>
      <c r="J1528" s="3" t="str">
        <f>HYPERLINK("https://www.boe.es/gazeta/dias/1819/01/02/pdfs/GMD-1819-1.pdf#page=1","Abrir facsímil")</f>
        <v>Abrir facsímil</v>
      </c>
      <c r="K1528" s="3" t="s">
        <v>67</v>
      </c>
    </row>
    <row r="1529" spans="1:11" ht="42" customHeight="1">
      <c r="A1529" s="2" t="s">
        <v>3878</v>
      </c>
      <c r="B1529" s="2" t="s">
        <v>3879</v>
      </c>
      <c r="C1529" s="2" t="s">
        <v>80</v>
      </c>
      <c r="D1529" s="2" t="s">
        <v>81</v>
      </c>
      <c r="E1529" s="5">
        <v>-29264</v>
      </c>
      <c r="F1529" s="3" t="s">
        <v>37</v>
      </c>
      <c r="G1529" s="3" t="s">
        <v>456</v>
      </c>
      <c r="H1529" s="2" t="s">
        <v>65</v>
      </c>
      <c r="I1529" s="2" t="s">
        <v>3880</v>
      </c>
      <c r="J1529" s="3" t="str">
        <f>HYPERLINK("https://www.boe.es/gazeta/dias/1819/11/16/pdfs/GMD-1819-141.pdf#page=9","Abrir facsímil")</f>
        <v>Abrir facsímil</v>
      </c>
      <c r="K1529" s="3" t="s">
        <v>67</v>
      </c>
    </row>
    <row r="1530" spans="1:11" ht="42" customHeight="1">
      <c r="A1530" s="2" t="s">
        <v>3881</v>
      </c>
      <c r="B1530" s="2" t="s">
        <v>3882</v>
      </c>
      <c r="C1530" s="2" t="s">
        <v>215</v>
      </c>
      <c r="D1530" s="2" t="s">
        <v>18</v>
      </c>
      <c r="E1530" s="5">
        <v>-29456</v>
      </c>
      <c r="F1530" s="3" t="s">
        <v>468</v>
      </c>
      <c r="G1530" s="3" t="s">
        <v>28</v>
      </c>
      <c r="H1530" s="2" t="s">
        <v>65</v>
      </c>
      <c r="I1530" s="2" t="s">
        <v>3883</v>
      </c>
      <c r="J1530" s="3" t="str">
        <f>HYPERLINK("https://www.boe.es/gazeta/dias/1819/05/08/pdfs/GMD-1819-55.pdf#page=8","Abrir facsímil")</f>
        <v>Abrir facsímil</v>
      </c>
      <c r="K1530" s="3" t="s">
        <v>67</v>
      </c>
    </row>
    <row r="1531" spans="1:11" ht="42" customHeight="1">
      <c r="A1531" s="2" t="s">
        <v>3884</v>
      </c>
      <c r="B1531" s="2" t="s">
        <v>3885</v>
      </c>
      <c r="C1531" s="2" t="s">
        <v>215</v>
      </c>
      <c r="D1531" s="2" t="s">
        <v>18</v>
      </c>
      <c r="E1531" s="5">
        <v>-29544</v>
      </c>
      <c r="F1531" s="3" t="s">
        <v>531</v>
      </c>
      <c r="G1531" s="3" t="s">
        <v>532</v>
      </c>
      <c r="H1531" s="2" t="s">
        <v>65</v>
      </c>
      <c r="I1531" s="2" t="s">
        <v>3886</v>
      </c>
      <c r="J1531" s="3" t="str">
        <f>HYPERLINK("https://www.boe.es/gazeta/dias/1819/02/09/pdfs/GMD-1819-17.pdf#page=8","Abrir facsímil")</f>
        <v>Abrir facsímil</v>
      </c>
      <c r="K1531" s="3" t="s">
        <v>67</v>
      </c>
    </row>
    <row r="1532" spans="1:11" ht="42" customHeight="1">
      <c r="A1532" s="2" t="s">
        <v>3884</v>
      </c>
      <c r="B1532" s="2" t="s">
        <v>3885</v>
      </c>
      <c r="C1532" s="2" t="s">
        <v>63</v>
      </c>
      <c r="D1532" s="2" t="s">
        <v>43</v>
      </c>
      <c r="E1532" s="5">
        <v>-29348</v>
      </c>
      <c r="F1532" s="3" t="s">
        <v>227</v>
      </c>
      <c r="G1532" s="3" t="s">
        <v>28</v>
      </c>
      <c r="H1532" s="2" t="s">
        <v>65</v>
      </c>
      <c r="I1532" s="2" t="s">
        <v>3887</v>
      </c>
      <c r="J1532" s="3" t="str">
        <f>HYPERLINK("https://www.boe.es/gazeta/dias/1819/08/24/pdfs/GMD-1819-102.pdf#page=8","Abrir facsímil")</f>
        <v>Abrir facsímil</v>
      </c>
      <c r="K1532" s="3" t="s">
        <v>67</v>
      </c>
    </row>
    <row r="1533" spans="1:11" ht="42" customHeight="1">
      <c r="A1533" s="2" t="s">
        <v>3884</v>
      </c>
      <c r="B1533" s="2" t="s">
        <v>3885</v>
      </c>
      <c r="C1533" s="2" t="s">
        <v>17</v>
      </c>
      <c r="D1533" s="2" t="s">
        <v>18</v>
      </c>
      <c r="E1533" s="5">
        <v>-29337</v>
      </c>
      <c r="F1533" s="3" t="s">
        <v>1098</v>
      </c>
      <c r="G1533" s="3" t="s">
        <v>55</v>
      </c>
      <c r="H1533" s="2" t="s">
        <v>65</v>
      </c>
      <c r="I1533" s="2" t="s">
        <v>3888</v>
      </c>
      <c r="J1533" s="3" t="str">
        <f>HYPERLINK("https://www.boe.es/gazeta/dias/1819/09/04/pdfs/GMD-1819-108.pdf#page=7","Abrir facsímil")</f>
        <v>Abrir facsímil</v>
      </c>
      <c r="K1533" s="3" t="s">
        <v>67</v>
      </c>
    </row>
    <row r="1534" spans="1:11" ht="42" customHeight="1">
      <c r="A1534" s="2" t="s">
        <v>3884</v>
      </c>
      <c r="B1534" s="2" t="s">
        <v>3885</v>
      </c>
      <c r="C1534" s="2" t="s">
        <v>63</v>
      </c>
      <c r="D1534" s="2" t="s">
        <v>43</v>
      </c>
      <c r="E1534" s="5">
        <v>-29285</v>
      </c>
      <c r="F1534" s="3" t="s">
        <v>578</v>
      </c>
      <c r="G1534" s="3" t="s">
        <v>28</v>
      </c>
      <c r="H1534" s="2" t="s">
        <v>65</v>
      </c>
      <c r="I1534" s="2" t="s">
        <v>3889</v>
      </c>
      <c r="J1534" s="3" t="str">
        <f>HYPERLINK("https://www.boe.es/gazeta/dias/1819/10/26/pdfs/GMD-1819-132.pdf#page=8","Abrir facsímil")</f>
        <v>Abrir facsímil</v>
      </c>
      <c r="K1534" s="3" t="s">
        <v>67</v>
      </c>
    </row>
    <row r="1535" spans="1:11" ht="42" customHeight="1">
      <c r="A1535" s="2" t="s">
        <v>3884</v>
      </c>
      <c r="B1535" s="2" t="s">
        <v>3885</v>
      </c>
      <c r="C1535" s="2" t="s">
        <v>63</v>
      </c>
      <c r="D1535" s="2" t="s">
        <v>43</v>
      </c>
      <c r="E1535" s="5">
        <v>-29253</v>
      </c>
      <c r="F1535" s="3" t="s">
        <v>242</v>
      </c>
      <c r="G1535" s="3" t="s">
        <v>2986</v>
      </c>
      <c r="H1535" s="2" t="s">
        <v>65</v>
      </c>
      <c r="I1535" s="2" t="s">
        <v>3890</v>
      </c>
      <c r="J1535" s="3" t="str">
        <f>HYPERLINK("https://www.boe.es/gazeta/dias/1819/11/27/pdfs/GMD-1819-146.pdf#page=8","Abrir facsímil")</f>
        <v>Abrir facsímil</v>
      </c>
      <c r="K1535" s="3" t="s">
        <v>67</v>
      </c>
    </row>
    <row r="1536" spans="1:11" ht="42" customHeight="1">
      <c r="A1536" s="2" t="s">
        <v>3884</v>
      </c>
      <c r="B1536" s="2" t="s">
        <v>3885</v>
      </c>
      <c r="C1536" s="2" t="s">
        <v>215</v>
      </c>
      <c r="D1536" s="2" t="s">
        <v>18</v>
      </c>
      <c r="E1536" s="5">
        <v>-29225</v>
      </c>
      <c r="F1536" s="3" t="s">
        <v>472</v>
      </c>
      <c r="G1536" s="3" t="s">
        <v>28</v>
      </c>
      <c r="H1536" s="2" t="s">
        <v>65</v>
      </c>
      <c r="I1536" s="2" t="s">
        <v>3891</v>
      </c>
      <c r="J1536" s="3" t="str">
        <f>HYPERLINK("https://www.boe.es/gazeta/dias/1819/12/25/pdfs/GMD-1819-158.pdf#page=8","Abrir facsímil")</f>
        <v>Abrir facsímil</v>
      </c>
      <c r="K1536" s="3" t="s">
        <v>67</v>
      </c>
    </row>
    <row r="1537" spans="1:11" ht="42" customHeight="1">
      <c r="A1537" s="2" t="s">
        <v>3892</v>
      </c>
      <c r="B1537" s="2" t="s">
        <v>3893</v>
      </c>
      <c r="C1537" s="2" t="s">
        <v>26</v>
      </c>
      <c r="D1537" s="2" t="s">
        <v>18</v>
      </c>
      <c r="E1537" s="5">
        <v>-29253</v>
      </c>
      <c r="F1537" s="3" t="s">
        <v>242</v>
      </c>
      <c r="G1537" s="3" t="s">
        <v>1048</v>
      </c>
      <c r="H1537" s="2" t="s">
        <v>65</v>
      </c>
      <c r="I1537" s="2" t="s">
        <v>3894</v>
      </c>
      <c r="J1537" s="3" t="str">
        <f>HYPERLINK("https://www.boe.es/gazeta/dias/1819/11/27/pdfs/GMD-1819-146.pdf#page=5","Abrir facsímil")</f>
        <v>Abrir facsímil</v>
      </c>
      <c r="K1537" s="3" t="s">
        <v>67</v>
      </c>
    </row>
    <row r="1538" spans="1:11" ht="42" customHeight="1">
      <c r="A1538" s="2" t="s">
        <v>3895</v>
      </c>
      <c r="B1538" s="2" t="s">
        <v>3896</v>
      </c>
      <c r="C1538" s="2" t="s">
        <v>59</v>
      </c>
      <c r="D1538" s="2" t="s">
        <v>18</v>
      </c>
      <c r="E1538" s="5">
        <v>-29358</v>
      </c>
      <c r="F1538" s="3" t="s">
        <v>170</v>
      </c>
      <c r="G1538" s="3" t="s">
        <v>38</v>
      </c>
      <c r="H1538" s="2" t="s">
        <v>65</v>
      </c>
      <c r="I1538" s="2" t="s">
        <v>3897</v>
      </c>
      <c r="J1538" s="3" t="str">
        <f>HYPERLINK("https://www.boe.es/gazeta/dias/1819/08/14/pdfs/GMD-1819-98.pdf#page=5","Abrir facsímil")</f>
        <v>Abrir facsímil</v>
      </c>
      <c r="K1538" s="3" t="s">
        <v>67</v>
      </c>
    </row>
    <row r="1539" spans="1:11" ht="42" customHeight="1">
      <c r="A1539" s="2" t="s">
        <v>3898</v>
      </c>
      <c r="B1539" s="2" t="s">
        <v>3899</v>
      </c>
      <c r="C1539" s="2" t="s">
        <v>80</v>
      </c>
      <c r="D1539" s="2" t="s">
        <v>81</v>
      </c>
      <c r="E1539" s="5">
        <v>-29297</v>
      </c>
      <c r="F1539" s="3" t="s">
        <v>82</v>
      </c>
      <c r="G1539" s="3" t="s">
        <v>33</v>
      </c>
      <c r="H1539" s="2" t="s">
        <v>65</v>
      </c>
      <c r="I1539" s="2" t="s">
        <v>3900</v>
      </c>
      <c r="J1539" s="3" t="str">
        <f>HYPERLINK("https://www.boe.es/gazeta/dias/1819/10/14/pdfs/GMD-1819-126.pdf#page=6","Abrir facsímil")</f>
        <v>Abrir facsímil</v>
      </c>
      <c r="K1539" s="3" t="s">
        <v>67</v>
      </c>
    </row>
    <row r="1540" spans="1:11" ht="42" customHeight="1">
      <c r="A1540" s="2" t="s">
        <v>3901</v>
      </c>
      <c r="B1540" s="2" t="s">
        <v>3902</v>
      </c>
      <c r="C1540" s="2" t="s">
        <v>17</v>
      </c>
      <c r="D1540" s="2" t="s">
        <v>18</v>
      </c>
      <c r="E1540" s="5">
        <v>-29358</v>
      </c>
      <c r="F1540" s="3" t="s">
        <v>170</v>
      </c>
      <c r="G1540" s="3" t="s">
        <v>38</v>
      </c>
      <c r="H1540" s="2" t="s">
        <v>65</v>
      </c>
      <c r="I1540" s="2" t="s">
        <v>3903</v>
      </c>
      <c r="J1540" s="3" t="str">
        <f>HYPERLINK("https://www.boe.es/gazeta/dias/1819/08/14/pdfs/GMD-1819-98.pdf#page=5","Abrir facsímil")</f>
        <v>Abrir facsímil</v>
      </c>
      <c r="K1540" s="3" t="s">
        <v>67</v>
      </c>
    </row>
    <row r="1541" spans="1:11" ht="42" customHeight="1">
      <c r="A1541" s="2" t="s">
        <v>3904</v>
      </c>
      <c r="B1541" s="2" t="s">
        <v>3905</v>
      </c>
      <c r="C1541" s="2" t="s">
        <v>80</v>
      </c>
      <c r="D1541" s="2" t="s">
        <v>81</v>
      </c>
      <c r="E1541" s="5">
        <v>-29297</v>
      </c>
      <c r="F1541" s="3" t="s">
        <v>82</v>
      </c>
      <c r="G1541" s="3" t="s">
        <v>28</v>
      </c>
      <c r="H1541" s="2" t="s">
        <v>65</v>
      </c>
      <c r="I1541" s="2" t="s">
        <v>3906</v>
      </c>
      <c r="J1541" s="3" t="str">
        <f>HYPERLINK("https://www.boe.es/gazeta/dias/1819/10/14/pdfs/GMD-1819-126.pdf#page=8","Abrir facsímil")</f>
        <v>Abrir facsímil</v>
      </c>
      <c r="K1541" s="3" t="s">
        <v>67</v>
      </c>
    </row>
    <row r="1542" spans="1:11" ht="42" customHeight="1">
      <c r="A1542" s="2" t="s">
        <v>3907</v>
      </c>
      <c r="B1542" s="2" t="s">
        <v>3908</v>
      </c>
      <c r="C1542" s="2" t="s">
        <v>17</v>
      </c>
      <c r="D1542" s="2" t="s">
        <v>18</v>
      </c>
      <c r="E1542" s="5">
        <v>-29337</v>
      </c>
      <c r="F1542" s="3" t="s">
        <v>1098</v>
      </c>
      <c r="G1542" s="3" t="s">
        <v>28</v>
      </c>
      <c r="H1542" s="2" t="s">
        <v>65</v>
      </c>
      <c r="I1542" s="2" t="s">
        <v>3909</v>
      </c>
      <c r="J1542" s="3" t="str">
        <f>HYPERLINK("https://www.boe.es/gazeta/dias/1819/09/04/pdfs/GMD-1819-108.pdf#page=8","Abrir facsímil")</f>
        <v>Abrir facsímil</v>
      </c>
      <c r="K1542" s="3" t="s">
        <v>67</v>
      </c>
    </row>
    <row r="1543" spans="1:11" ht="42" customHeight="1">
      <c r="A1543" s="2" t="s">
        <v>3910</v>
      </c>
      <c r="B1543" s="2" t="s">
        <v>3911</v>
      </c>
      <c r="C1543" s="2" t="s">
        <v>63</v>
      </c>
      <c r="D1543" s="2" t="s">
        <v>43</v>
      </c>
      <c r="E1543" s="5">
        <v>-29421</v>
      </c>
      <c r="F1543" s="3" t="s">
        <v>1972</v>
      </c>
      <c r="G1543" s="3" t="s">
        <v>2551</v>
      </c>
      <c r="H1543" s="2" t="s">
        <v>65</v>
      </c>
      <c r="I1543" s="2" t="s">
        <v>3912</v>
      </c>
      <c r="J1543" s="3" t="str">
        <f>HYPERLINK("https://www.boe.es/gazeta/dias/1819/06/12/pdfs/GMD-1819-70.pdf#page=8","Abrir facsímil")</f>
        <v>Abrir facsímil</v>
      </c>
      <c r="K1543" s="3" t="s">
        <v>67</v>
      </c>
    </row>
    <row r="1544" spans="1:11" ht="42" customHeight="1">
      <c r="A1544" s="2" t="s">
        <v>3913</v>
      </c>
      <c r="B1544" s="2" t="s">
        <v>3914</v>
      </c>
      <c r="C1544" s="2" t="s">
        <v>17</v>
      </c>
      <c r="D1544" s="2" t="s">
        <v>18</v>
      </c>
      <c r="E1544" s="5">
        <v>-29470</v>
      </c>
      <c r="F1544" s="3" t="s">
        <v>1188</v>
      </c>
      <c r="G1544" s="3" t="s">
        <v>33</v>
      </c>
      <c r="H1544" s="2" t="s">
        <v>65</v>
      </c>
      <c r="I1544" s="2" t="s">
        <v>3915</v>
      </c>
      <c r="J1544" s="3" t="str">
        <f>HYPERLINK("https://www.boe.es/gazeta/dias/1819/04/24/pdfs/GMD-1819-49.pdf#page=6","Abrir facsímil")</f>
        <v>Abrir facsímil</v>
      </c>
      <c r="K1544" s="3" t="s">
        <v>67</v>
      </c>
    </row>
    <row r="1545" spans="1:11" ht="42" customHeight="1">
      <c r="A1545" s="2" t="s">
        <v>3916</v>
      </c>
      <c r="B1545" s="2" t="s">
        <v>3917</v>
      </c>
      <c r="C1545" s="2" t="s">
        <v>63</v>
      </c>
      <c r="D1545" s="2" t="s">
        <v>43</v>
      </c>
      <c r="E1545" s="5">
        <v>-29521</v>
      </c>
      <c r="F1545" s="3" t="s">
        <v>1002</v>
      </c>
      <c r="G1545" s="3" t="s">
        <v>33</v>
      </c>
      <c r="H1545" s="2" t="s">
        <v>65</v>
      </c>
      <c r="I1545" s="2" t="s">
        <v>3918</v>
      </c>
      <c r="J1545" s="3" t="str">
        <f>HYPERLINK("https://www.boe.es/gazeta/dias/1819/03/04/pdfs/GMD-1819-27.pdf#page=6","Abrir facsímil")</f>
        <v>Abrir facsímil</v>
      </c>
      <c r="K1545" s="3" t="s">
        <v>67</v>
      </c>
    </row>
    <row r="1546" spans="1:11" ht="42" customHeight="1">
      <c r="A1546" s="2" t="s">
        <v>3919</v>
      </c>
      <c r="B1546" s="2" t="s">
        <v>3920</v>
      </c>
      <c r="C1546" s="2" t="s">
        <v>63</v>
      </c>
      <c r="D1546" s="2" t="s">
        <v>43</v>
      </c>
      <c r="E1546" s="5">
        <v>-29220</v>
      </c>
      <c r="F1546" s="3" t="s">
        <v>397</v>
      </c>
      <c r="G1546" s="3" t="s">
        <v>55</v>
      </c>
      <c r="H1546" s="2" t="s">
        <v>65</v>
      </c>
      <c r="I1546" s="2" t="s">
        <v>3921</v>
      </c>
      <c r="J1546" s="3" t="str">
        <f>HYPERLINK("https://www.boe.es/gazeta/dias/1819/12/30/pdfs/GMD-1819-160.pdf#page=7","Abrir facsímil")</f>
        <v>Abrir facsímil</v>
      </c>
      <c r="K1546" s="3" t="s">
        <v>67</v>
      </c>
    </row>
    <row r="1547" spans="1:11" ht="42" customHeight="1">
      <c r="A1547" s="2" t="s">
        <v>3922</v>
      </c>
      <c r="B1547" s="2" t="s">
        <v>3923</v>
      </c>
      <c r="C1547" s="2" t="s">
        <v>80</v>
      </c>
      <c r="D1547" s="2" t="s">
        <v>81</v>
      </c>
      <c r="E1547" s="5">
        <v>-29297</v>
      </c>
      <c r="F1547" s="3" t="s">
        <v>82</v>
      </c>
      <c r="G1547" s="3" t="s">
        <v>28</v>
      </c>
      <c r="H1547" s="2" t="s">
        <v>65</v>
      </c>
      <c r="I1547" s="2" t="s">
        <v>3924</v>
      </c>
      <c r="J1547" s="3" t="str">
        <f>HYPERLINK("https://www.boe.es/gazeta/dias/1819/10/14/pdfs/GMD-1819-126.pdf#page=8","Abrir facsímil")</f>
        <v>Abrir facsímil</v>
      </c>
      <c r="K1547" s="3" t="s">
        <v>67</v>
      </c>
    </row>
    <row r="1548" spans="1:11" ht="42" customHeight="1">
      <c r="A1548" s="2" t="s">
        <v>3925</v>
      </c>
      <c r="B1548" s="2" t="s">
        <v>3926</v>
      </c>
      <c r="C1548" s="2" t="s">
        <v>59</v>
      </c>
      <c r="D1548" s="2" t="s">
        <v>18</v>
      </c>
      <c r="E1548" s="5">
        <v>-29575</v>
      </c>
      <c r="F1548" s="3" t="s">
        <v>77</v>
      </c>
      <c r="G1548" s="3" t="s">
        <v>55</v>
      </c>
      <c r="H1548" s="2" t="s">
        <v>21</v>
      </c>
      <c r="I1548" s="2" t="s">
        <v>3927</v>
      </c>
      <c r="J1548" s="3" t="str">
        <f>HYPERLINK("https://www.boe.es/gazeta/dias/1819/01/09/pdfs/GMD-1819-4.pdf#page=7","Abrir facsímil")</f>
        <v>Abrir facsímil</v>
      </c>
      <c r="K1548" s="3" t="s">
        <v>23</v>
      </c>
    </row>
    <row r="1549" spans="1:11" ht="42" customHeight="1">
      <c r="A1549" s="2" t="s">
        <v>3928</v>
      </c>
      <c r="B1549" s="2" t="s">
        <v>3929</v>
      </c>
      <c r="C1549" s="2" t="s">
        <v>63</v>
      </c>
      <c r="D1549" s="2" t="s">
        <v>43</v>
      </c>
      <c r="E1549" s="5">
        <v>-29281</v>
      </c>
      <c r="F1549" s="3" t="s">
        <v>19</v>
      </c>
      <c r="G1549" s="3" t="s">
        <v>55</v>
      </c>
      <c r="H1549" s="2" t="s">
        <v>65</v>
      </c>
      <c r="I1549" s="2" t="s">
        <v>3930</v>
      </c>
      <c r="J1549" s="3" t="str">
        <f>HYPERLINK("https://www.boe.es/gazeta/dias/1819/10/30/pdfs/GMD-1819-134.pdf#page=7","Abrir facsímil")</f>
        <v>Abrir facsímil</v>
      </c>
      <c r="K1549" s="3" t="s">
        <v>67</v>
      </c>
    </row>
    <row r="1550" spans="1:11" ht="42" customHeight="1">
      <c r="A1550" s="2" t="s">
        <v>3931</v>
      </c>
      <c r="B1550" s="2" t="s">
        <v>3932</v>
      </c>
      <c r="C1550" s="2" t="s">
        <v>136</v>
      </c>
      <c r="D1550" s="2" t="s">
        <v>18</v>
      </c>
      <c r="E1550" s="5">
        <v>-29348</v>
      </c>
      <c r="F1550" s="3" t="s">
        <v>227</v>
      </c>
      <c r="G1550" s="3" t="s">
        <v>28</v>
      </c>
      <c r="H1550" s="2" t="s">
        <v>65</v>
      </c>
      <c r="I1550" s="2" t="s">
        <v>3933</v>
      </c>
      <c r="J1550" s="3" t="str">
        <f>HYPERLINK("https://www.boe.es/gazeta/dias/1819/08/24/pdfs/GMD-1819-102.pdf#page=8","Abrir facsímil")</f>
        <v>Abrir facsímil</v>
      </c>
      <c r="K1550" s="3" t="s">
        <v>67</v>
      </c>
    </row>
    <row r="1551" spans="1:11" ht="42" customHeight="1">
      <c r="A1551" s="2" t="s">
        <v>3934</v>
      </c>
      <c r="B1551" s="2" t="s">
        <v>3935</v>
      </c>
      <c r="C1551" s="2" t="s">
        <v>63</v>
      </c>
      <c r="D1551" s="2" t="s">
        <v>43</v>
      </c>
      <c r="E1551" s="5">
        <v>-29369</v>
      </c>
      <c r="F1551" s="3" t="s">
        <v>231</v>
      </c>
      <c r="G1551" s="3" t="s">
        <v>232</v>
      </c>
      <c r="H1551" s="2" t="s">
        <v>65</v>
      </c>
      <c r="I1551" s="2" t="s">
        <v>3936</v>
      </c>
      <c r="J1551" s="3" t="str">
        <f>HYPERLINK("https://www.boe.es/gazeta/dias/1819/08/03/pdfs/GMD-1819-93.pdf#page=5","Abrir facsímil")</f>
        <v>Abrir facsímil</v>
      </c>
      <c r="K1551" s="3" t="s">
        <v>67</v>
      </c>
    </row>
    <row r="1552" spans="1:11" ht="42" customHeight="1">
      <c r="A1552" s="2" t="s">
        <v>3937</v>
      </c>
      <c r="B1552" s="2" t="s">
        <v>3938</v>
      </c>
      <c r="C1552" s="2" t="s">
        <v>26</v>
      </c>
      <c r="D1552" s="2" t="s">
        <v>18</v>
      </c>
      <c r="E1552" s="5">
        <v>-29491</v>
      </c>
      <c r="F1552" s="3" t="s">
        <v>1604</v>
      </c>
      <c r="G1552" s="3" t="s">
        <v>28</v>
      </c>
      <c r="H1552" s="2" t="s">
        <v>65</v>
      </c>
      <c r="I1552" s="2" t="s">
        <v>3939</v>
      </c>
      <c r="J1552" s="3" t="str">
        <f>HYPERLINK("https://www.boe.es/gazeta/dias/1819/04/03/pdfs/GMD-1819-40.pdf#page=8","Abrir facsímil")</f>
        <v>Abrir facsímil</v>
      </c>
      <c r="K1552" s="3" t="s">
        <v>67</v>
      </c>
    </row>
    <row r="1553" spans="1:11" ht="42" customHeight="1">
      <c r="A1553" s="2" t="s">
        <v>3937</v>
      </c>
      <c r="B1553" s="2" t="s">
        <v>3938</v>
      </c>
      <c r="C1553" s="2" t="s">
        <v>26</v>
      </c>
      <c r="D1553" s="2" t="s">
        <v>18</v>
      </c>
      <c r="E1553" s="5">
        <v>-29299</v>
      </c>
      <c r="F1553" s="3" t="s">
        <v>798</v>
      </c>
      <c r="G1553" s="3" t="s">
        <v>799</v>
      </c>
      <c r="H1553" s="2" t="s">
        <v>65</v>
      </c>
      <c r="I1553" s="2" t="s">
        <v>3940</v>
      </c>
      <c r="J1553" s="3" t="str">
        <f>HYPERLINK("https://www.boe.es/gazeta/dias/1819/10/12/pdfs/GMD-1819-125.pdf#page=6","Abrir facsímil")</f>
        <v>Abrir facsímil</v>
      </c>
      <c r="K1553" s="3" t="s">
        <v>67</v>
      </c>
    </row>
    <row r="1554" spans="1:11" ht="42" customHeight="1">
      <c r="A1554" s="2" t="s">
        <v>3941</v>
      </c>
      <c r="B1554" s="2" t="s">
        <v>3942</v>
      </c>
      <c r="C1554" s="2" t="s">
        <v>63</v>
      </c>
      <c r="D1554" s="2" t="s">
        <v>43</v>
      </c>
      <c r="E1554" s="5">
        <v>-29400</v>
      </c>
      <c r="F1554" s="3" t="s">
        <v>2181</v>
      </c>
      <c r="G1554" s="3" t="s">
        <v>3943</v>
      </c>
      <c r="H1554" s="2" t="s">
        <v>65</v>
      </c>
      <c r="I1554" s="2" t="s">
        <v>3944</v>
      </c>
      <c r="J1554" s="3" t="str">
        <f>HYPERLINK("https://www.boe.es/gazeta/dias/1819/07/03/pdfs/GMD-1819-80.pdf#page=6","Abrir facsímil")</f>
        <v>Abrir facsímil</v>
      </c>
      <c r="K1554" s="3" t="s">
        <v>67</v>
      </c>
    </row>
    <row r="1555" spans="1:11" ht="42" customHeight="1">
      <c r="A1555" s="2" t="s">
        <v>3945</v>
      </c>
      <c r="B1555" s="2" t="s">
        <v>3946</v>
      </c>
      <c r="C1555" s="2" t="s">
        <v>80</v>
      </c>
      <c r="D1555" s="2" t="s">
        <v>81</v>
      </c>
      <c r="E1555" s="5">
        <v>-29243</v>
      </c>
      <c r="F1555" s="3" t="s">
        <v>2099</v>
      </c>
      <c r="G1555" s="3" t="s">
        <v>2100</v>
      </c>
      <c r="H1555" s="2" t="s">
        <v>65</v>
      </c>
      <c r="I1555" s="2" t="s">
        <v>3947</v>
      </c>
      <c r="J1555" s="3" t="str">
        <f>HYPERLINK("https://www.boe.es/gazeta/dias/1819/12/07/pdfs/GMD-1819-150.pdf#page=6","Abrir facsímil")</f>
        <v>Abrir facsímil</v>
      </c>
      <c r="K1555" s="3" t="s">
        <v>67</v>
      </c>
    </row>
    <row r="1556" spans="1:11" ht="42" customHeight="1">
      <c r="A1556" s="2" t="s">
        <v>3948</v>
      </c>
      <c r="B1556" s="2" t="s">
        <v>3949</v>
      </c>
      <c r="C1556" s="2" t="s">
        <v>17</v>
      </c>
      <c r="D1556" s="2" t="s">
        <v>18</v>
      </c>
      <c r="E1556" s="5">
        <v>-29530</v>
      </c>
      <c r="F1556" s="3" t="s">
        <v>202</v>
      </c>
      <c r="G1556" s="3" t="s">
        <v>456</v>
      </c>
      <c r="H1556" s="2" t="s">
        <v>65</v>
      </c>
      <c r="I1556" s="2" t="s">
        <v>3950</v>
      </c>
      <c r="J1556" s="3" t="str">
        <f>HYPERLINK("https://www.boe.es/gazeta/dias/1819/02/23/pdfs/GMD-1819-23.pdf#page=9","Abrir facsímil")</f>
        <v>Abrir facsímil</v>
      </c>
      <c r="K1556" s="3" t="s">
        <v>67</v>
      </c>
    </row>
    <row r="1557" spans="1:11" ht="42" customHeight="1">
      <c r="A1557" s="2" t="s">
        <v>3951</v>
      </c>
      <c r="B1557" s="2" t="s">
        <v>3952</v>
      </c>
      <c r="C1557" s="2" t="s">
        <v>80</v>
      </c>
      <c r="D1557" s="2" t="s">
        <v>81</v>
      </c>
      <c r="E1557" s="5">
        <v>-29442</v>
      </c>
      <c r="F1557" s="3" t="s">
        <v>427</v>
      </c>
      <c r="G1557" s="3" t="s">
        <v>38</v>
      </c>
      <c r="H1557" s="2" t="s">
        <v>65</v>
      </c>
      <c r="I1557" s="2" t="s">
        <v>3953</v>
      </c>
      <c r="J1557" s="3" t="str">
        <f>HYPERLINK("https://www.boe.es/gazeta/dias/1819/05/22/pdfs/GMD-1819-61.pdf#page=5","Abrir facsímil")</f>
        <v>Abrir facsímil</v>
      </c>
      <c r="K1557" s="3" t="s">
        <v>67</v>
      </c>
    </row>
    <row r="1558" spans="1:11" ht="42" customHeight="1">
      <c r="A1558" s="2" t="s">
        <v>3954</v>
      </c>
      <c r="B1558" s="2" t="s">
        <v>3955</v>
      </c>
      <c r="C1558" s="2" t="s">
        <v>80</v>
      </c>
      <c r="D1558" s="2" t="s">
        <v>81</v>
      </c>
      <c r="E1558" s="5">
        <v>-29246</v>
      </c>
      <c r="F1558" s="3" t="s">
        <v>494</v>
      </c>
      <c r="G1558" s="3" t="s">
        <v>1726</v>
      </c>
      <c r="H1558" s="2" t="s">
        <v>65</v>
      </c>
      <c r="I1558" s="2" t="s">
        <v>3956</v>
      </c>
      <c r="J1558" s="3" t="str">
        <f>HYPERLINK("https://www.boe.es/gazeta/dias/1819/12/04/pdfs/GMD-1819-149.pdf#page=7","Abrir facsímil")</f>
        <v>Abrir facsímil</v>
      </c>
      <c r="K1558" s="3" t="s">
        <v>67</v>
      </c>
    </row>
    <row r="1559" spans="1:11" ht="42" customHeight="1">
      <c r="A1559" s="2" t="s">
        <v>3957</v>
      </c>
      <c r="B1559" s="2" t="s">
        <v>3958</v>
      </c>
      <c r="C1559" s="2" t="s">
        <v>26</v>
      </c>
      <c r="D1559" s="2" t="s">
        <v>18</v>
      </c>
      <c r="E1559" s="5">
        <v>-29437</v>
      </c>
      <c r="F1559" s="3" t="s">
        <v>1147</v>
      </c>
      <c r="G1559" s="3" t="s">
        <v>28</v>
      </c>
      <c r="H1559" s="2" t="s">
        <v>65</v>
      </c>
      <c r="I1559" s="2" t="s">
        <v>3959</v>
      </c>
      <c r="J1559" s="3" t="str">
        <f>HYPERLINK("https://www.boe.es/gazeta/dias/1819/05/27/pdfs/GMD-1819-63.pdf#page=8","Abrir facsímil")</f>
        <v>Abrir facsímil</v>
      </c>
      <c r="K1559" s="3" t="s">
        <v>67</v>
      </c>
    </row>
    <row r="1560" spans="1:11" ht="42" customHeight="1">
      <c r="A1560" s="2" t="s">
        <v>3960</v>
      </c>
      <c r="B1560" s="2" t="s">
        <v>3961</v>
      </c>
      <c r="C1560" s="2" t="s">
        <v>215</v>
      </c>
      <c r="D1560" s="2" t="s">
        <v>454</v>
      </c>
      <c r="E1560" s="5">
        <v>-29287</v>
      </c>
      <c r="F1560" s="3" t="s">
        <v>455</v>
      </c>
      <c r="G1560" s="3" t="s">
        <v>456</v>
      </c>
      <c r="H1560" s="2" t="s">
        <v>65</v>
      </c>
      <c r="I1560" s="2" t="s">
        <v>3962</v>
      </c>
      <c r="J1560" s="3" t="str">
        <f>HYPERLINK("https://www.boe.es/gazeta/dias/1819/10/24/pdfs/GMD-1819-131E.pdf#page=9","Abrir facsímil")</f>
        <v>Abrir facsímil</v>
      </c>
      <c r="K1560" s="3" t="s">
        <v>67</v>
      </c>
    </row>
    <row r="1561" spans="1:11" ht="42" customHeight="1">
      <c r="A1561" s="2" t="s">
        <v>3963</v>
      </c>
      <c r="B1561" s="2" t="s">
        <v>3964</v>
      </c>
      <c r="C1561" s="2" t="s">
        <v>63</v>
      </c>
      <c r="D1561" s="2" t="s">
        <v>43</v>
      </c>
      <c r="E1561" s="5">
        <v>-29442</v>
      </c>
      <c r="F1561" s="3" t="s">
        <v>427</v>
      </c>
      <c r="G1561" s="3" t="s">
        <v>28</v>
      </c>
      <c r="H1561" s="2" t="s">
        <v>65</v>
      </c>
      <c r="I1561" s="2" t="s">
        <v>3965</v>
      </c>
      <c r="J1561" s="3" t="str">
        <f>HYPERLINK("https://www.boe.es/gazeta/dias/1819/05/22/pdfs/GMD-1819-61.pdf#page=8","Abrir facsímil")</f>
        <v>Abrir facsímil</v>
      </c>
      <c r="K1561" s="3" t="s">
        <v>67</v>
      </c>
    </row>
    <row r="1562" spans="1:11" ht="42" customHeight="1">
      <c r="A1562" s="2" t="s">
        <v>3963</v>
      </c>
      <c r="B1562" s="2" t="s">
        <v>3964</v>
      </c>
      <c r="C1562" s="2" t="s">
        <v>63</v>
      </c>
      <c r="D1562" s="2" t="s">
        <v>43</v>
      </c>
      <c r="E1562" s="5">
        <v>-29372</v>
      </c>
      <c r="F1562" s="3" t="s">
        <v>715</v>
      </c>
      <c r="G1562" s="3" t="s">
        <v>28</v>
      </c>
      <c r="H1562" s="2" t="s">
        <v>65</v>
      </c>
      <c r="I1562" s="2" t="s">
        <v>3966</v>
      </c>
      <c r="J1562" s="3" t="str">
        <f>HYPERLINK("https://www.boe.es/gazeta/dias/1819/07/31/pdfs/GMD-1819-92.pdf#page=8","Abrir facsímil")</f>
        <v>Abrir facsímil</v>
      </c>
      <c r="K1562" s="3" t="s">
        <v>67</v>
      </c>
    </row>
    <row r="1563" spans="1:11" ht="42" customHeight="1">
      <c r="A1563" s="2" t="s">
        <v>3963</v>
      </c>
      <c r="B1563" s="2" t="s">
        <v>3964</v>
      </c>
      <c r="C1563" s="2" t="s">
        <v>63</v>
      </c>
      <c r="D1563" s="2" t="s">
        <v>43</v>
      </c>
      <c r="E1563" s="5">
        <v>-29360</v>
      </c>
      <c r="F1563" s="3" t="s">
        <v>182</v>
      </c>
      <c r="G1563" s="3" t="s">
        <v>28</v>
      </c>
      <c r="H1563" s="2" t="s">
        <v>65</v>
      </c>
      <c r="I1563" s="2" t="s">
        <v>3967</v>
      </c>
      <c r="J1563" s="3" t="str">
        <f>HYPERLINK("https://www.boe.es/gazeta/dias/1819/08/12/pdfs/GMD-1819-97.pdf#page=8","Abrir facsímil")</f>
        <v>Abrir facsímil</v>
      </c>
      <c r="K1563" s="3" t="s">
        <v>67</v>
      </c>
    </row>
    <row r="1564" spans="1:11" ht="42" customHeight="1">
      <c r="A1564" s="2" t="s">
        <v>3963</v>
      </c>
      <c r="B1564" s="2" t="s">
        <v>3964</v>
      </c>
      <c r="C1564" s="2" t="s">
        <v>63</v>
      </c>
      <c r="D1564" s="2" t="s">
        <v>43</v>
      </c>
      <c r="E1564" s="5">
        <v>-29311</v>
      </c>
      <c r="F1564" s="3" t="s">
        <v>678</v>
      </c>
      <c r="G1564" s="3" t="s">
        <v>28</v>
      </c>
      <c r="H1564" s="2" t="s">
        <v>65</v>
      </c>
      <c r="I1564" s="2" t="s">
        <v>3968</v>
      </c>
      <c r="J1564" s="3" t="str">
        <f>HYPERLINK("https://www.boe.es/gazeta/dias/1819/09/30/pdfs/GMD-1819-120.pdf#page=8","Abrir facsímil")</f>
        <v>Abrir facsímil</v>
      </c>
      <c r="K1564" s="3" t="s">
        <v>67</v>
      </c>
    </row>
    <row r="1565" spans="1:11" ht="42" customHeight="1">
      <c r="A1565" s="2" t="s">
        <v>3963</v>
      </c>
      <c r="B1565" s="2" t="s">
        <v>3964</v>
      </c>
      <c r="C1565" s="2" t="s">
        <v>63</v>
      </c>
      <c r="D1565" s="2" t="s">
        <v>43</v>
      </c>
      <c r="E1565" s="5">
        <v>-29292</v>
      </c>
      <c r="F1565" s="3" t="s">
        <v>875</v>
      </c>
      <c r="G1565" s="3" t="s">
        <v>55</v>
      </c>
      <c r="H1565" s="2" t="s">
        <v>65</v>
      </c>
      <c r="I1565" s="2" t="s">
        <v>3969</v>
      </c>
      <c r="J1565" s="3" t="str">
        <f>HYPERLINK("https://www.boe.es/gazeta/dias/1819/10/19/pdfs/GMD-1819-128.pdf#page=7","Abrir facsímil")</f>
        <v>Abrir facsímil</v>
      </c>
      <c r="K1565" s="3" t="s">
        <v>67</v>
      </c>
    </row>
    <row r="1566" spans="1:11" ht="42" customHeight="1">
      <c r="A1566" s="2" t="s">
        <v>3970</v>
      </c>
      <c r="B1566" s="2" t="s">
        <v>3971</v>
      </c>
      <c r="C1566" s="2" t="s">
        <v>26</v>
      </c>
      <c r="D1566" s="2" t="s">
        <v>18</v>
      </c>
      <c r="E1566" s="5">
        <v>-29271</v>
      </c>
      <c r="F1566" s="3" t="s">
        <v>32</v>
      </c>
      <c r="G1566" s="3" t="s">
        <v>33</v>
      </c>
      <c r="H1566" s="2" t="s">
        <v>65</v>
      </c>
      <c r="I1566" s="2" t="s">
        <v>3972</v>
      </c>
      <c r="J1566" s="3" t="str">
        <f>HYPERLINK("https://www.boe.es/gazeta/dias/1819/11/09/pdfs/GMD-1819-138.pdf#page=6","Abrir facsímil")</f>
        <v>Abrir facsímil</v>
      </c>
      <c r="K1566" s="3" t="s">
        <v>67</v>
      </c>
    </row>
    <row r="1567" spans="1:11" ht="42" customHeight="1">
      <c r="A1567" s="2" t="s">
        <v>3973</v>
      </c>
      <c r="B1567" s="2" t="s">
        <v>3974</v>
      </c>
      <c r="C1567" s="2" t="s">
        <v>80</v>
      </c>
      <c r="D1567" s="2" t="s">
        <v>81</v>
      </c>
      <c r="E1567" s="5">
        <v>-29248</v>
      </c>
      <c r="F1567" s="3" t="s">
        <v>395</v>
      </c>
      <c r="G1567" s="3" t="s">
        <v>1179</v>
      </c>
      <c r="H1567" s="2" t="s">
        <v>65</v>
      </c>
      <c r="I1567" s="2" t="s">
        <v>3975</v>
      </c>
      <c r="J1567" s="3" t="str">
        <f>HYPERLINK("https://www.boe.es/gazeta/dias/1819/12/02/pdfs/GMD-1819-148.pdf#page=10","Abrir facsímil")</f>
        <v>Abrir facsímil</v>
      </c>
      <c r="K1567" s="3" t="s">
        <v>67</v>
      </c>
    </row>
    <row r="1568" spans="1:11" ht="42" customHeight="1">
      <c r="A1568" s="2" t="s">
        <v>3976</v>
      </c>
      <c r="B1568" s="2" t="s">
        <v>3977</v>
      </c>
      <c r="C1568" s="2" t="s">
        <v>26</v>
      </c>
      <c r="D1568" s="2" t="s">
        <v>18</v>
      </c>
      <c r="E1568" s="5">
        <v>-29561</v>
      </c>
      <c r="F1568" s="3" t="s">
        <v>290</v>
      </c>
      <c r="G1568" s="3" t="s">
        <v>28</v>
      </c>
      <c r="H1568" s="2" t="s">
        <v>65</v>
      </c>
      <c r="I1568" s="2" t="s">
        <v>3978</v>
      </c>
      <c r="J1568" s="3" t="str">
        <f>HYPERLINK("https://www.boe.es/gazeta/dias/1819/01/23/pdfs/GMD-1819-10.pdf#page=8","Abrir facsímil")</f>
        <v>Abrir facsímil</v>
      </c>
      <c r="K1568" s="3" t="s">
        <v>67</v>
      </c>
    </row>
    <row r="1569" spans="1:11" ht="42" customHeight="1">
      <c r="A1569" s="2" t="s">
        <v>3979</v>
      </c>
      <c r="B1569" s="2" t="s">
        <v>3980</v>
      </c>
      <c r="C1569" s="2" t="s">
        <v>63</v>
      </c>
      <c r="D1569" s="2" t="s">
        <v>43</v>
      </c>
      <c r="E1569" s="5">
        <v>-29281</v>
      </c>
      <c r="F1569" s="3" t="s">
        <v>19</v>
      </c>
      <c r="G1569" s="3" t="s">
        <v>28</v>
      </c>
      <c r="H1569" s="2" t="s">
        <v>65</v>
      </c>
      <c r="I1569" s="2" t="s">
        <v>3981</v>
      </c>
      <c r="J1569" s="3" t="str">
        <f>HYPERLINK("https://www.boe.es/gazeta/dias/1819/10/30/pdfs/GMD-1819-134.pdf#page=8","Abrir facsímil")</f>
        <v>Abrir facsímil</v>
      </c>
      <c r="K1569" s="3" t="s">
        <v>67</v>
      </c>
    </row>
    <row r="1570" spans="1:11" ht="42" customHeight="1">
      <c r="A1570" s="2" t="s">
        <v>3982</v>
      </c>
      <c r="B1570" s="2" t="s">
        <v>3983</v>
      </c>
      <c r="C1570" s="2" t="s">
        <v>80</v>
      </c>
      <c r="D1570" s="2" t="s">
        <v>81</v>
      </c>
      <c r="E1570" s="5">
        <v>-29458</v>
      </c>
      <c r="F1570" s="3" t="s">
        <v>766</v>
      </c>
      <c r="G1570" s="3" t="s">
        <v>296</v>
      </c>
      <c r="H1570" s="2" t="s">
        <v>65</v>
      </c>
      <c r="I1570" s="2" t="s">
        <v>3984</v>
      </c>
      <c r="J1570" s="3" t="str">
        <f>HYPERLINK("https://www.boe.es/gazeta/dias/1819/05/06/pdfs/GMD-1819-54.pdf#page=4","Abrir facsímil")</f>
        <v>Abrir facsímil</v>
      </c>
      <c r="K1570" s="3" t="s">
        <v>67</v>
      </c>
    </row>
    <row r="1571" spans="1:11" ht="42" customHeight="1">
      <c r="A1571" s="2" t="s">
        <v>3985</v>
      </c>
      <c r="B1571" s="2" t="s">
        <v>3986</v>
      </c>
      <c r="C1571" s="2" t="s">
        <v>17</v>
      </c>
      <c r="D1571" s="2" t="s">
        <v>18</v>
      </c>
      <c r="E1571" s="5">
        <v>-29556</v>
      </c>
      <c r="F1571" s="3" t="s">
        <v>255</v>
      </c>
      <c r="G1571" s="3" t="s">
        <v>28</v>
      </c>
      <c r="H1571" s="2" t="s">
        <v>21</v>
      </c>
      <c r="I1571" s="2" t="s">
        <v>3987</v>
      </c>
      <c r="J1571" s="3" t="str">
        <f>HYPERLINK("https://www.boe.es/gazeta/dias/1819/01/28/pdfs/GMD-1819-12.pdf#page=8","Abrir facsímil")</f>
        <v>Abrir facsímil</v>
      </c>
      <c r="K1571" s="3" t="s">
        <v>23</v>
      </c>
    </row>
    <row r="1572" spans="1:11" ht="42" customHeight="1">
      <c r="A1572" s="2" t="s">
        <v>3988</v>
      </c>
      <c r="B1572" s="2" t="s">
        <v>3989</v>
      </c>
      <c r="C1572" s="2" t="s">
        <v>80</v>
      </c>
      <c r="D1572" s="2" t="s">
        <v>81</v>
      </c>
      <c r="E1572" s="5">
        <v>-29460</v>
      </c>
      <c r="F1572" s="3" t="s">
        <v>1534</v>
      </c>
      <c r="G1572" s="3" t="s">
        <v>55</v>
      </c>
      <c r="H1572" s="2" t="s">
        <v>65</v>
      </c>
      <c r="I1572" s="2" t="s">
        <v>3990</v>
      </c>
      <c r="J1572" s="3" t="str">
        <f>HYPERLINK("https://www.boe.es/gazeta/dias/1819/05/04/pdfs/GMD-1819-53.pdf#page=7","Abrir facsímil")</f>
        <v>Abrir facsímil</v>
      </c>
      <c r="K1572" s="3" t="s">
        <v>67</v>
      </c>
    </row>
    <row r="1573" spans="1:11" ht="42" customHeight="1">
      <c r="A1573" s="2" t="s">
        <v>3991</v>
      </c>
      <c r="B1573" s="2" t="s">
        <v>3991</v>
      </c>
      <c r="C1573" s="2" t="s">
        <v>80</v>
      </c>
      <c r="D1573" s="2" t="s">
        <v>81</v>
      </c>
      <c r="E1573" s="5">
        <v>-29526</v>
      </c>
      <c r="F1573" s="3" t="s">
        <v>307</v>
      </c>
      <c r="G1573" s="3" t="s">
        <v>239</v>
      </c>
      <c r="H1573" s="2" t="s">
        <v>65</v>
      </c>
      <c r="I1573" s="2" t="s">
        <v>3992</v>
      </c>
      <c r="J1573" s="3" t="str">
        <f>HYPERLINK("https://www.boe.es/gazeta/dias/1819/02/27/pdfs/GMD-1819-25.pdf#page=1","Abrir facsímil")</f>
        <v>Abrir facsímil</v>
      </c>
      <c r="K1573" s="3" t="s">
        <v>67</v>
      </c>
    </row>
    <row r="1574" spans="1:11" ht="42" customHeight="1">
      <c r="A1574" s="2" t="s">
        <v>3991</v>
      </c>
      <c r="B1574" s="2" t="s">
        <v>3991</v>
      </c>
      <c r="C1574" s="2" t="s">
        <v>80</v>
      </c>
      <c r="D1574" s="2" t="s">
        <v>81</v>
      </c>
      <c r="E1574" s="5">
        <v>-29353</v>
      </c>
      <c r="F1574" s="3" t="s">
        <v>867</v>
      </c>
      <c r="G1574" s="3" t="s">
        <v>3993</v>
      </c>
      <c r="H1574" s="2" t="s">
        <v>65</v>
      </c>
      <c r="I1574" s="2" t="s">
        <v>3994</v>
      </c>
      <c r="J1574" s="3" t="str">
        <f>HYPERLINK("https://www.boe.es/gazeta/dias/1819/08/19/pdfs/GMD-1819-100.pdf#page=4","Abrir facsímil")</f>
        <v>Abrir facsímil</v>
      </c>
      <c r="K1574" s="3" t="s">
        <v>67</v>
      </c>
    </row>
    <row r="1575" spans="1:11" ht="42" customHeight="1">
      <c r="A1575" s="2" t="s">
        <v>3995</v>
      </c>
      <c r="B1575" s="2" t="s">
        <v>3995</v>
      </c>
      <c r="C1575" s="2" t="s">
        <v>63</v>
      </c>
      <c r="D1575" s="2" t="s">
        <v>43</v>
      </c>
      <c r="E1575" s="5">
        <v>-29325</v>
      </c>
      <c r="F1575" s="3" t="s">
        <v>174</v>
      </c>
      <c r="G1575" s="3" t="s">
        <v>239</v>
      </c>
      <c r="H1575" s="2" t="s">
        <v>65</v>
      </c>
      <c r="I1575" s="2" t="s">
        <v>3996</v>
      </c>
      <c r="J1575" s="3" t="str">
        <f>HYPERLINK("https://www.boe.es/gazeta/dias/1819/09/16/pdfs/GMD-1819-113.pdf#page=1","Abrir facsímil")</f>
        <v>Abrir facsímil</v>
      </c>
      <c r="K1575" s="3" t="s">
        <v>67</v>
      </c>
    </row>
    <row r="1576" spans="1:11" ht="42" customHeight="1">
      <c r="A1576" s="2" t="s">
        <v>3997</v>
      </c>
      <c r="B1576" s="2" t="s">
        <v>3997</v>
      </c>
      <c r="C1576" s="2" t="s">
        <v>80</v>
      </c>
      <c r="D1576" s="2" t="s">
        <v>81</v>
      </c>
      <c r="E1576" s="5">
        <v>-29414</v>
      </c>
      <c r="F1576" s="3" t="s">
        <v>732</v>
      </c>
      <c r="G1576" s="3" t="s">
        <v>102</v>
      </c>
      <c r="H1576" s="2" t="s">
        <v>65</v>
      </c>
      <c r="I1576" s="2" t="s">
        <v>3998</v>
      </c>
      <c r="J1576" s="3" t="str">
        <f>HYPERLINK("https://www.boe.es/gazeta/dias/1819/06/19/pdfs/GMD-1819-74.pdf#page=3","Abrir facsímil")</f>
        <v>Abrir facsímil</v>
      </c>
      <c r="K1576" s="3" t="s">
        <v>67</v>
      </c>
    </row>
    <row r="1577" spans="1:11" ht="42" customHeight="1">
      <c r="A1577" s="2" t="s">
        <v>3999</v>
      </c>
      <c r="B1577" s="2" t="s">
        <v>4000</v>
      </c>
      <c r="C1577" s="2" t="s">
        <v>136</v>
      </c>
      <c r="D1577" s="2" t="s">
        <v>18</v>
      </c>
      <c r="E1577" s="5">
        <v>-29267</v>
      </c>
      <c r="F1577" s="3" t="s">
        <v>370</v>
      </c>
      <c r="G1577" s="3" t="s">
        <v>33</v>
      </c>
      <c r="H1577" s="2" t="s">
        <v>65</v>
      </c>
      <c r="I1577" s="2" t="s">
        <v>4001</v>
      </c>
      <c r="J1577" s="3" t="str">
        <f>HYPERLINK("https://www.boe.es/gazeta/dias/1819/11/13/pdfs/GMD-1819-140.pdf#page=6","Abrir facsímil")</f>
        <v>Abrir facsímil</v>
      </c>
      <c r="K1577" s="3" t="s">
        <v>67</v>
      </c>
    </row>
    <row r="1578" spans="1:11" ht="42" customHeight="1">
      <c r="A1578" s="2" t="s">
        <v>4002</v>
      </c>
      <c r="B1578" s="2" t="s">
        <v>4003</v>
      </c>
      <c r="C1578" s="2" t="s">
        <v>80</v>
      </c>
      <c r="D1578" s="2" t="s">
        <v>454</v>
      </c>
      <c r="E1578" s="5">
        <v>-29287</v>
      </c>
      <c r="F1578" s="3" t="s">
        <v>455</v>
      </c>
      <c r="G1578" s="3" t="s">
        <v>481</v>
      </c>
      <c r="H1578" s="2" t="s">
        <v>65</v>
      </c>
      <c r="I1578" s="2" t="s">
        <v>4004</v>
      </c>
      <c r="J1578" s="3" t="str">
        <f>HYPERLINK("https://www.boe.es/gazeta/dias/1819/10/24/pdfs/GMD-1819-131E.pdf#page=8","Abrir facsímil")</f>
        <v>Abrir facsímil</v>
      </c>
      <c r="K1578" s="3" t="s">
        <v>67</v>
      </c>
    </row>
    <row r="1579" spans="1:11" ht="42" customHeight="1">
      <c r="A1579" s="2" t="s">
        <v>4005</v>
      </c>
      <c r="B1579" s="2" t="s">
        <v>4006</v>
      </c>
      <c r="C1579" s="2" t="s">
        <v>63</v>
      </c>
      <c r="D1579" s="2" t="s">
        <v>43</v>
      </c>
      <c r="E1579" s="5">
        <v>-29537</v>
      </c>
      <c r="F1579" s="3" t="s">
        <v>593</v>
      </c>
      <c r="G1579" s="3" t="s">
        <v>28</v>
      </c>
      <c r="H1579" s="2" t="s">
        <v>65</v>
      </c>
      <c r="I1579" s="2" t="s">
        <v>4007</v>
      </c>
      <c r="J1579" s="3" t="str">
        <f>HYPERLINK("https://www.boe.es/gazeta/dias/1819/02/16/pdfs/GMD-1819-20.pdf#page=8","Abrir facsímil")</f>
        <v>Abrir facsímil</v>
      </c>
      <c r="K1579" s="3" t="s">
        <v>67</v>
      </c>
    </row>
    <row r="1580" spans="1:11" ht="42" customHeight="1">
      <c r="A1580" s="2" t="s">
        <v>4008</v>
      </c>
      <c r="B1580" s="2" t="s">
        <v>4009</v>
      </c>
      <c r="C1580" s="2" t="s">
        <v>136</v>
      </c>
      <c r="D1580" s="2" t="s">
        <v>18</v>
      </c>
      <c r="E1580" s="5">
        <v>-29411</v>
      </c>
      <c r="F1580" s="3" t="s">
        <v>317</v>
      </c>
      <c r="G1580" s="3" t="s">
        <v>695</v>
      </c>
      <c r="H1580" s="2" t="s">
        <v>65</v>
      </c>
      <c r="I1580" s="2" t="s">
        <v>4010</v>
      </c>
      <c r="J1580" s="3" t="str">
        <f>HYPERLINK("https://www.boe.es/gazeta/dias/1819/06/22/pdfs/GMD-1819-75.pdf#page=8","Abrir facsímil")</f>
        <v>Abrir facsímil</v>
      </c>
      <c r="K1580" s="3" t="s">
        <v>67</v>
      </c>
    </row>
    <row r="1581" spans="1:11" ht="42" customHeight="1">
      <c r="A1581" s="2" t="s">
        <v>4011</v>
      </c>
      <c r="B1581" s="2" t="s">
        <v>4012</v>
      </c>
      <c r="C1581" s="2" t="s">
        <v>26</v>
      </c>
      <c r="D1581" s="2" t="s">
        <v>18</v>
      </c>
      <c r="E1581" s="5">
        <v>-29253</v>
      </c>
      <c r="F1581" s="3" t="s">
        <v>242</v>
      </c>
      <c r="G1581" s="3" t="s">
        <v>1048</v>
      </c>
      <c r="H1581" s="2" t="s">
        <v>65</v>
      </c>
      <c r="I1581" s="2" t="s">
        <v>4013</v>
      </c>
      <c r="J1581" s="3" t="str">
        <f>HYPERLINK("https://www.boe.es/gazeta/dias/1819/11/27/pdfs/GMD-1819-146.pdf#page=5","Abrir facsímil")</f>
        <v>Abrir facsímil</v>
      </c>
      <c r="K1581" s="3" t="s">
        <v>67</v>
      </c>
    </row>
    <row r="1582" spans="1:11" ht="42" customHeight="1">
      <c r="A1582" s="2" t="s">
        <v>4014</v>
      </c>
      <c r="B1582" s="2" t="s">
        <v>4014</v>
      </c>
      <c r="C1582" s="2" t="s">
        <v>80</v>
      </c>
      <c r="D1582" s="2" t="s">
        <v>81</v>
      </c>
      <c r="E1582" s="5">
        <v>-29446</v>
      </c>
      <c r="F1582" s="3" t="s">
        <v>773</v>
      </c>
      <c r="G1582" s="3" t="s">
        <v>102</v>
      </c>
      <c r="H1582" s="2" t="s">
        <v>65</v>
      </c>
      <c r="I1582" s="2" t="s">
        <v>4015</v>
      </c>
      <c r="J1582" s="3" t="str">
        <f>HYPERLINK("https://www.boe.es/gazeta/dias/1819/05/18/pdfs/GMD-1819-59.pdf#page=3","Abrir facsímil")</f>
        <v>Abrir facsímil</v>
      </c>
      <c r="K1582" s="3" t="s">
        <v>67</v>
      </c>
    </row>
    <row r="1583" spans="1:11" ht="42" customHeight="1">
      <c r="A1583" s="2" t="s">
        <v>4016</v>
      </c>
      <c r="B1583" s="2" t="s">
        <v>4016</v>
      </c>
      <c r="C1583" s="2" t="s">
        <v>80</v>
      </c>
      <c r="D1583" s="2" t="s">
        <v>81</v>
      </c>
      <c r="E1583" s="5">
        <v>-29346</v>
      </c>
      <c r="F1583" s="3" t="s">
        <v>718</v>
      </c>
      <c r="G1583" s="3" t="s">
        <v>55</v>
      </c>
      <c r="H1583" s="2" t="s">
        <v>65</v>
      </c>
      <c r="I1583" s="2" t="s">
        <v>4017</v>
      </c>
      <c r="J1583" s="3" t="str">
        <f>HYPERLINK("https://www.boe.es/gazeta/dias/1819/08/26/pdfs/GMD-1819-103.pdf#page=7","Abrir facsímil")</f>
        <v>Abrir facsímil</v>
      </c>
      <c r="K1583" s="3" t="s">
        <v>67</v>
      </c>
    </row>
    <row r="1584" spans="1:11" ht="42" customHeight="1">
      <c r="A1584" s="2" t="s">
        <v>4018</v>
      </c>
      <c r="B1584" s="2" t="s">
        <v>4018</v>
      </c>
      <c r="C1584" s="2" t="s">
        <v>80</v>
      </c>
      <c r="D1584" s="2" t="s">
        <v>81</v>
      </c>
      <c r="E1584" s="5">
        <v>-29505</v>
      </c>
      <c r="F1584" s="3" t="s">
        <v>597</v>
      </c>
      <c r="G1584" s="3" t="s">
        <v>259</v>
      </c>
      <c r="H1584" s="2" t="s">
        <v>65</v>
      </c>
      <c r="I1584" s="2" t="s">
        <v>4019</v>
      </c>
      <c r="J1584" s="3" t="str">
        <f>HYPERLINK("https://www.boe.es/gazeta/dias/1819/03/20/pdfs/GMD-1819-34.pdf#page=2","Abrir facsímil")</f>
        <v>Abrir facsímil</v>
      </c>
      <c r="K1584" s="3" t="s">
        <v>67</v>
      </c>
    </row>
    <row r="1585" spans="1:11" ht="42" customHeight="1">
      <c r="A1585" s="2" t="s">
        <v>4020</v>
      </c>
      <c r="B1585" s="2" t="s">
        <v>4021</v>
      </c>
      <c r="C1585" s="2" t="s">
        <v>63</v>
      </c>
      <c r="D1585" s="2" t="s">
        <v>43</v>
      </c>
      <c r="E1585" s="5">
        <v>-29516</v>
      </c>
      <c r="F1585" s="3" t="s">
        <v>137</v>
      </c>
      <c r="G1585" s="3" t="s">
        <v>138</v>
      </c>
      <c r="H1585" s="2" t="s">
        <v>65</v>
      </c>
      <c r="I1585" s="2" t="s">
        <v>4022</v>
      </c>
      <c r="J1585" s="3" t="str">
        <f>HYPERLINK("https://www.boe.es/gazeta/dias/1819/03/09/pdfs/GMD-1819-29.pdf#page=12","Abrir facsímil")</f>
        <v>Abrir facsímil</v>
      </c>
      <c r="K1585" s="3" t="s">
        <v>67</v>
      </c>
    </row>
    <row r="1586" spans="1:11" ht="42" customHeight="1">
      <c r="A1586" s="2" t="s">
        <v>4023</v>
      </c>
      <c r="B1586" s="2" t="s">
        <v>4023</v>
      </c>
      <c r="C1586" s="2" t="s">
        <v>80</v>
      </c>
      <c r="D1586" s="2" t="s">
        <v>81</v>
      </c>
      <c r="E1586" s="5">
        <v>-29558</v>
      </c>
      <c r="F1586" s="3" t="s">
        <v>1463</v>
      </c>
      <c r="G1586" s="3" t="s">
        <v>28</v>
      </c>
      <c r="H1586" s="2" t="s">
        <v>65</v>
      </c>
      <c r="I1586" s="2" t="s">
        <v>4024</v>
      </c>
      <c r="J1586" s="3" t="str">
        <f>HYPERLINK("https://www.boe.es/gazeta/dias/1819/01/26/pdfs/GMD-1819-11.pdf#page=8","Abrir facsímil")</f>
        <v>Abrir facsímil</v>
      </c>
      <c r="K1586" s="3" t="s">
        <v>67</v>
      </c>
    </row>
    <row r="1587" spans="1:11" ht="42" customHeight="1">
      <c r="A1587" s="2" t="s">
        <v>4025</v>
      </c>
      <c r="B1587" s="2" t="s">
        <v>4026</v>
      </c>
      <c r="C1587" s="2" t="s">
        <v>63</v>
      </c>
      <c r="D1587" s="2" t="s">
        <v>43</v>
      </c>
      <c r="E1587" s="5">
        <v>-29439</v>
      </c>
      <c r="F1587" s="3" t="s">
        <v>1101</v>
      </c>
      <c r="G1587" s="3" t="s">
        <v>1960</v>
      </c>
      <c r="H1587" s="2" t="s">
        <v>65</v>
      </c>
      <c r="I1587" s="2" t="s">
        <v>4027</v>
      </c>
      <c r="J1587" s="3" t="str">
        <f>HYPERLINK("https://www.boe.es/gazeta/dias/1819/05/25/pdfs/GMD-1819-62.pdf#page=8","Abrir facsímil")</f>
        <v>Abrir facsímil</v>
      </c>
      <c r="K1587" s="3" t="s">
        <v>67</v>
      </c>
    </row>
    <row r="1588" spans="1:11" ht="42" customHeight="1">
      <c r="A1588" s="2" t="s">
        <v>4028</v>
      </c>
      <c r="B1588" s="2" t="s">
        <v>4029</v>
      </c>
      <c r="C1588" s="2" t="s">
        <v>80</v>
      </c>
      <c r="D1588" s="2" t="s">
        <v>454</v>
      </c>
      <c r="E1588" s="5">
        <v>-29287</v>
      </c>
      <c r="F1588" s="3" t="s">
        <v>455</v>
      </c>
      <c r="G1588" s="3" t="s">
        <v>481</v>
      </c>
      <c r="H1588" s="2" t="s">
        <v>65</v>
      </c>
      <c r="I1588" s="2" t="s">
        <v>4030</v>
      </c>
      <c r="J1588" s="3" t="str">
        <f>HYPERLINK("https://www.boe.es/gazeta/dias/1819/10/24/pdfs/GMD-1819-131E.pdf#page=8","Abrir facsímil")</f>
        <v>Abrir facsímil</v>
      </c>
      <c r="K1588" s="3" t="s">
        <v>67</v>
      </c>
    </row>
    <row r="1589" spans="1:11" ht="42" customHeight="1">
      <c r="A1589" s="2" t="s">
        <v>4031</v>
      </c>
      <c r="B1589" s="2" t="s">
        <v>4031</v>
      </c>
      <c r="C1589" s="2" t="s">
        <v>63</v>
      </c>
      <c r="D1589" s="2" t="s">
        <v>43</v>
      </c>
      <c r="E1589" s="5">
        <v>-29421</v>
      </c>
      <c r="F1589" s="3" t="s">
        <v>1972</v>
      </c>
      <c r="G1589" s="3" t="s">
        <v>102</v>
      </c>
      <c r="H1589" s="2" t="s">
        <v>65</v>
      </c>
      <c r="I1589" s="2" t="s">
        <v>4032</v>
      </c>
      <c r="J1589" s="3" t="str">
        <f>HYPERLINK("https://www.boe.es/gazeta/dias/1819/06/12/pdfs/GMD-1819-70.pdf#page=3","Abrir facsímil")</f>
        <v>Abrir facsímil</v>
      </c>
      <c r="K1589" s="3" t="s">
        <v>67</v>
      </c>
    </row>
    <row r="1590" spans="1:11" ht="42" customHeight="1">
      <c r="A1590" s="2" t="s">
        <v>4033</v>
      </c>
      <c r="B1590" s="2" t="s">
        <v>4034</v>
      </c>
      <c r="C1590" s="2" t="s">
        <v>63</v>
      </c>
      <c r="D1590" s="2" t="s">
        <v>454</v>
      </c>
      <c r="E1590" s="5">
        <v>-29324</v>
      </c>
      <c r="F1590" s="3" t="s">
        <v>914</v>
      </c>
      <c r="G1590" s="3" t="s">
        <v>102</v>
      </c>
      <c r="H1590" s="2" t="s">
        <v>65</v>
      </c>
      <c r="I1590" s="2" t="s">
        <v>4035</v>
      </c>
      <c r="J1590" s="3" t="str">
        <f>HYPERLINK("https://www.boe.es/gazeta/dias/1819/09/17/pdfs/GMD-1819-114E.pdf#page=3","Abrir facsímil")</f>
        <v>Abrir facsímil</v>
      </c>
      <c r="K1590" s="3" t="s">
        <v>67</v>
      </c>
    </row>
    <row r="1591" spans="1:11" ht="42" customHeight="1">
      <c r="A1591" s="2" t="s">
        <v>4036</v>
      </c>
      <c r="B1591" s="2" t="s">
        <v>4036</v>
      </c>
      <c r="C1591" s="2" t="s">
        <v>63</v>
      </c>
      <c r="D1591" s="2" t="s">
        <v>43</v>
      </c>
      <c r="E1591" s="5">
        <v>-29444</v>
      </c>
      <c r="F1591" s="3" t="s">
        <v>258</v>
      </c>
      <c r="G1591" s="3" t="s">
        <v>102</v>
      </c>
      <c r="H1591" s="2" t="s">
        <v>65</v>
      </c>
      <c r="I1591" s="2" t="s">
        <v>4037</v>
      </c>
      <c r="J1591" s="3" t="str">
        <f>HYPERLINK("https://www.boe.es/gazeta/dias/1819/05/20/pdfs/GMD-1819-60.pdf#page=3","Abrir facsímil")</f>
        <v>Abrir facsímil</v>
      </c>
      <c r="K1591" s="3" t="s">
        <v>67</v>
      </c>
    </row>
    <row r="1592" spans="1:11" ht="42" customHeight="1">
      <c r="A1592" s="2" t="s">
        <v>4038</v>
      </c>
      <c r="B1592" s="2" t="s">
        <v>4039</v>
      </c>
      <c r="C1592" s="2" t="s">
        <v>63</v>
      </c>
      <c r="D1592" s="2" t="s">
        <v>43</v>
      </c>
      <c r="E1592" s="5">
        <v>-29456</v>
      </c>
      <c r="F1592" s="3" t="s">
        <v>468</v>
      </c>
      <c r="G1592" s="3" t="s">
        <v>28</v>
      </c>
      <c r="H1592" s="2" t="s">
        <v>65</v>
      </c>
      <c r="I1592" s="2" t="s">
        <v>4040</v>
      </c>
      <c r="J1592" s="3" t="str">
        <f>HYPERLINK("https://www.boe.es/gazeta/dias/1819/05/08/pdfs/GMD-1819-55.pdf#page=8","Abrir facsímil")</f>
        <v>Abrir facsímil</v>
      </c>
      <c r="K1592" s="3" t="s">
        <v>67</v>
      </c>
    </row>
    <row r="1593" spans="1:11" ht="42" customHeight="1">
      <c r="A1593" s="2" t="s">
        <v>4041</v>
      </c>
      <c r="B1593" s="2" t="s">
        <v>4042</v>
      </c>
      <c r="C1593" s="2" t="s">
        <v>80</v>
      </c>
      <c r="D1593" s="2" t="s">
        <v>81</v>
      </c>
      <c r="E1593" s="5">
        <v>-29248</v>
      </c>
      <c r="F1593" s="3" t="s">
        <v>395</v>
      </c>
      <c r="G1593" s="3" t="s">
        <v>94</v>
      </c>
      <c r="H1593" s="2" t="s">
        <v>65</v>
      </c>
      <c r="I1593" s="2" t="s">
        <v>4043</v>
      </c>
      <c r="J1593" s="3" t="str">
        <f>HYPERLINK("https://www.boe.es/gazeta/dias/1819/12/02/pdfs/GMD-1819-148.pdf#page=11","Abrir facsímil")</f>
        <v>Abrir facsímil</v>
      </c>
      <c r="K1593" s="3" t="s">
        <v>67</v>
      </c>
    </row>
    <row r="1594" spans="1:11" ht="42" customHeight="1">
      <c r="A1594" s="2" t="s">
        <v>4044</v>
      </c>
      <c r="B1594" s="2" t="s">
        <v>4045</v>
      </c>
      <c r="C1594" s="2" t="s">
        <v>26</v>
      </c>
      <c r="D1594" s="2" t="s">
        <v>18</v>
      </c>
      <c r="E1594" s="5">
        <v>-29411</v>
      </c>
      <c r="F1594" s="3" t="s">
        <v>317</v>
      </c>
      <c r="G1594" s="3" t="s">
        <v>38</v>
      </c>
      <c r="H1594" s="2" t="s">
        <v>65</v>
      </c>
      <c r="I1594" s="2" t="s">
        <v>4046</v>
      </c>
      <c r="J1594" s="3" t="str">
        <f>HYPERLINK("https://www.boe.es/gazeta/dias/1819/06/22/pdfs/GMD-1819-75.pdf#page=5","Abrir facsímil")</f>
        <v>Abrir facsímil</v>
      </c>
      <c r="K1594" s="3" t="s">
        <v>67</v>
      </c>
    </row>
    <row r="1595" spans="1:11" ht="42" customHeight="1">
      <c r="A1595" s="2" t="s">
        <v>4047</v>
      </c>
      <c r="B1595" s="2" t="s">
        <v>4047</v>
      </c>
      <c r="C1595" s="2" t="s">
        <v>80</v>
      </c>
      <c r="D1595" s="2" t="s">
        <v>81</v>
      </c>
      <c r="E1595" s="5">
        <v>-29423</v>
      </c>
      <c r="F1595" s="3" t="s">
        <v>1205</v>
      </c>
      <c r="G1595" s="3" t="s">
        <v>38</v>
      </c>
      <c r="H1595" s="2" t="s">
        <v>65</v>
      </c>
      <c r="I1595" s="2" t="s">
        <v>4048</v>
      </c>
      <c r="J1595" s="3" t="str">
        <f>HYPERLINK("https://www.boe.es/gazeta/dias/1819/06/10/pdfs/GMD-1819-69.pdf#page=5","Abrir facsímil")</f>
        <v>Abrir facsímil</v>
      </c>
      <c r="K1595" s="3" t="s">
        <v>67</v>
      </c>
    </row>
    <row r="1596" spans="1:11" ht="42" customHeight="1">
      <c r="A1596" s="2" t="s">
        <v>4049</v>
      </c>
      <c r="B1596" s="2" t="s">
        <v>4050</v>
      </c>
      <c r="C1596" s="2" t="s">
        <v>80</v>
      </c>
      <c r="D1596" s="2" t="s">
        <v>81</v>
      </c>
      <c r="E1596" s="5">
        <v>-29575</v>
      </c>
      <c r="F1596" s="3" t="s">
        <v>77</v>
      </c>
      <c r="G1596" s="3" t="s">
        <v>55</v>
      </c>
      <c r="H1596" s="2" t="s">
        <v>65</v>
      </c>
      <c r="I1596" s="2" t="s">
        <v>4051</v>
      </c>
      <c r="J1596" s="3" t="str">
        <f>HYPERLINK("https://www.boe.es/gazeta/dias/1819/01/09/pdfs/GMD-1819-4.pdf#page=7","Abrir facsímil")</f>
        <v>Abrir facsímil</v>
      </c>
      <c r="K1596" s="3" t="s">
        <v>67</v>
      </c>
    </row>
    <row r="1597" spans="1:11" ht="42" customHeight="1">
      <c r="A1597" s="2" t="s">
        <v>4052</v>
      </c>
      <c r="B1597" s="2" t="s">
        <v>4053</v>
      </c>
      <c r="C1597" s="2" t="s">
        <v>80</v>
      </c>
      <c r="D1597" s="2" t="s">
        <v>81</v>
      </c>
      <c r="E1597" s="5">
        <v>-29320</v>
      </c>
      <c r="F1597" s="3" t="s">
        <v>690</v>
      </c>
      <c r="G1597" s="3" t="s">
        <v>28</v>
      </c>
      <c r="H1597" s="2" t="s">
        <v>65</v>
      </c>
      <c r="I1597" s="2" t="s">
        <v>4054</v>
      </c>
      <c r="J1597" s="3" t="str">
        <f>HYPERLINK("https://www.boe.es/gazeta/dias/1819/09/21/pdfs/GMD-1819-116.pdf#page=8","Abrir facsímil")</f>
        <v>Abrir facsímil</v>
      </c>
      <c r="K1597" s="3" t="s">
        <v>67</v>
      </c>
    </row>
    <row r="1598" spans="1:11" ht="42" customHeight="1">
      <c r="A1598" s="2" t="s">
        <v>4055</v>
      </c>
      <c r="B1598" s="2" t="s">
        <v>4056</v>
      </c>
      <c r="C1598" s="2" t="s">
        <v>80</v>
      </c>
      <c r="D1598" s="2" t="s">
        <v>81</v>
      </c>
      <c r="E1598" s="5">
        <v>-29528</v>
      </c>
      <c r="F1598" s="3" t="s">
        <v>708</v>
      </c>
      <c r="G1598" s="3" t="s">
        <v>28</v>
      </c>
      <c r="H1598" s="2" t="s">
        <v>65</v>
      </c>
      <c r="I1598" s="2" t="s">
        <v>4057</v>
      </c>
      <c r="J1598" s="3" t="str">
        <f>HYPERLINK("https://www.boe.es/gazeta/dias/1819/02/25/pdfs/GMD-1819-24.pdf#page=8","Abrir facsímil")</f>
        <v>Abrir facsímil</v>
      </c>
      <c r="K1598" s="3" t="s">
        <v>67</v>
      </c>
    </row>
    <row r="1599" spans="1:11" ht="42" customHeight="1">
      <c r="A1599" s="2" t="s">
        <v>4058</v>
      </c>
      <c r="B1599" s="2" t="s">
        <v>4059</v>
      </c>
      <c r="C1599" s="2" t="s">
        <v>80</v>
      </c>
      <c r="D1599" s="2" t="s">
        <v>81</v>
      </c>
      <c r="E1599" s="5">
        <v>-29276</v>
      </c>
      <c r="F1599" s="3" t="s">
        <v>54</v>
      </c>
      <c r="G1599" s="3" t="s">
        <v>55</v>
      </c>
      <c r="H1599" s="2" t="s">
        <v>65</v>
      </c>
      <c r="I1599" s="2" t="s">
        <v>4060</v>
      </c>
      <c r="J1599" s="3" t="str">
        <f>HYPERLINK("https://www.boe.es/gazeta/dias/1819/11/04/pdfs/GMD-1819-136.pdf#page=7","Abrir facsímil")</f>
        <v>Abrir facsímil</v>
      </c>
      <c r="K1599" s="3" t="s">
        <v>67</v>
      </c>
    </row>
    <row r="1600" spans="1:11" ht="42" customHeight="1">
      <c r="A1600" s="2" t="s">
        <v>4061</v>
      </c>
      <c r="B1600" s="2" t="s">
        <v>4062</v>
      </c>
      <c r="C1600" s="2" t="s">
        <v>17</v>
      </c>
      <c r="D1600" s="2" t="s">
        <v>18</v>
      </c>
      <c r="E1600" s="5">
        <v>-29309</v>
      </c>
      <c r="F1600" s="3" t="s">
        <v>476</v>
      </c>
      <c r="G1600" s="3" t="s">
        <v>692</v>
      </c>
      <c r="H1600" s="2" t="s">
        <v>65</v>
      </c>
      <c r="I1600" s="2" t="s">
        <v>4063</v>
      </c>
      <c r="J1600" s="3" t="str">
        <f>HYPERLINK("https://www.boe.es/gazeta/dias/1819/10/02/pdfs/GMD-1819-121.pdf#page=8","Abrir facsímil")</f>
        <v>Abrir facsímil</v>
      </c>
      <c r="K1600" s="3" t="s">
        <v>67</v>
      </c>
    </row>
    <row r="1601" spans="1:11" ht="42" customHeight="1">
      <c r="A1601" s="2" t="s">
        <v>4064</v>
      </c>
      <c r="B1601" s="2" t="s">
        <v>4065</v>
      </c>
      <c r="C1601" s="2" t="s">
        <v>80</v>
      </c>
      <c r="D1601" s="2" t="s">
        <v>81</v>
      </c>
      <c r="E1601" s="5">
        <v>-29269</v>
      </c>
      <c r="F1601" s="3" t="s">
        <v>565</v>
      </c>
      <c r="G1601" s="3" t="s">
        <v>33</v>
      </c>
      <c r="H1601" s="2" t="s">
        <v>65</v>
      </c>
      <c r="I1601" s="2" t="s">
        <v>4066</v>
      </c>
      <c r="J1601" s="3" t="str">
        <f>HYPERLINK("https://www.boe.es/gazeta/dias/1819/11/11/pdfs/GMD-1819-139.pdf#page=6","Abrir facsímil")</f>
        <v>Abrir facsímil</v>
      </c>
      <c r="K1601" s="3" t="s">
        <v>67</v>
      </c>
    </row>
    <row r="1602" spans="1:11" ht="42" customHeight="1">
      <c r="A1602" s="2" t="s">
        <v>4067</v>
      </c>
      <c r="B1602" s="2" t="s">
        <v>4068</v>
      </c>
      <c r="C1602" s="2" t="s">
        <v>80</v>
      </c>
      <c r="D1602" s="2" t="s">
        <v>81</v>
      </c>
      <c r="E1602" s="5">
        <v>-29337</v>
      </c>
      <c r="F1602" s="3" t="s">
        <v>1098</v>
      </c>
      <c r="G1602" s="3" t="s">
        <v>28</v>
      </c>
      <c r="H1602" s="2" t="s">
        <v>65</v>
      </c>
      <c r="I1602" s="2" t="s">
        <v>4069</v>
      </c>
      <c r="J1602" s="3" t="str">
        <f>HYPERLINK("https://www.boe.es/gazeta/dias/1819/09/04/pdfs/GMD-1819-108.pdf#page=8","Abrir facsímil")</f>
        <v>Abrir facsímil</v>
      </c>
      <c r="K1602" s="3" t="s">
        <v>67</v>
      </c>
    </row>
    <row r="1603" spans="1:11" ht="42" customHeight="1">
      <c r="A1603" s="2" t="s">
        <v>4070</v>
      </c>
      <c r="B1603" s="2" t="s">
        <v>4071</v>
      </c>
      <c r="C1603" s="2" t="s">
        <v>59</v>
      </c>
      <c r="D1603" s="2" t="s">
        <v>18</v>
      </c>
      <c r="E1603" s="5">
        <v>-29379</v>
      </c>
      <c r="F1603" s="3" t="s">
        <v>161</v>
      </c>
      <c r="G1603" s="3" t="s">
        <v>162</v>
      </c>
      <c r="H1603" s="2" t="s">
        <v>21</v>
      </c>
      <c r="I1603" s="2" t="s">
        <v>4072</v>
      </c>
      <c r="J1603" s="3" t="str">
        <f>HYPERLINK("https://www.boe.es/gazeta/dias/1819/07/24/pdfs/GMD-1819-89.pdf#page=5","Abrir facsímil")</f>
        <v>Abrir facsímil</v>
      </c>
      <c r="K1603" s="3" t="s">
        <v>23</v>
      </c>
    </row>
    <row r="1604" spans="1:11" ht="42" customHeight="1">
      <c r="A1604" s="2" t="s">
        <v>4073</v>
      </c>
      <c r="B1604" s="2" t="s">
        <v>4074</v>
      </c>
      <c r="C1604" s="2" t="s">
        <v>26</v>
      </c>
      <c r="D1604" s="2" t="s">
        <v>18</v>
      </c>
      <c r="E1604" s="5">
        <v>-29551</v>
      </c>
      <c r="F1604" s="3" t="s">
        <v>2173</v>
      </c>
      <c r="G1604" s="3" t="s">
        <v>28</v>
      </c>
      <c r="H1604" s="2" t="s">
        <v>65</v>
      </c>
      <c r="I1604" s="2" t="s">
        <v>4075</v>
      </c>
      <c r="J1604" s="3" t="str">
        <f>HYPERLINK("https://www.boe.es/gazeta/dias/1819/02/02/pdfs/GMD-1819-14.pdf#page=8","Abrir facsímil")</f>
        <v>Abrir facsímil</v>
      </c>
      <c r="K1604" s="3" t="s">
        <v>67</v>
      </c>
    </row>
    <row r="1605" spans="1:11" ht="42" customHeight="1">
      <c r="A1605" s="2" t="s">
        <v>4076</v>
      </c>
      <c r="B1605" s="2" t="s">
        <v>4077</v>
      </c>
      <c r="C1605" s="2" t="s">
        <v>59</v>
      </c>
      <c r="D1605" s="2" t="s">
        <v>18</v>
      </c>
      <c r="E1605" s="5">
        <v>-29316</v>
      </c>
      <c r="F1605" s="3" t="s">
        <v>166</v>
      </c>
      <c r="G1605" s="3" t="s">
        <v>38</v>
      </c>
      <c r="H1605" s="2" t="s">
        <v>65</v>
      </c>
      <c r="I1605" s="2" t="s">
        <v>4078</v>
      </c>
      <c r="J1605" s="3" t="str">
        <f>HYPERLINK("https://www.boe.es/gazeta/dias/1819/09/25/pdfs/GMD-1819-118.pdf#page=5","Abrir facsímil")</f>
        <v>Abrir facsímil</v>
      </c>
      <c r="K1605" s="3" t="s">
        <v>67</v>
      </c>
    </row>
    <row r="1606" spans="1:11" ht="42" customHeight="1">
      <c r="A1606" s="2" t="s">
        <v>4079</v>
      </c>
      <c r="B1606" s="2" t="s">
        <v>4079</v>
      </c>
      <c r="C1606" s="2" t="s">
        <v>246</v>
      </c>
      <c r="D1606" s="2" t="s">
        <v>18</v>
      </c>
      <c r="E1606" s="5">
        <v>-29365</v>
      </c>
      <c r="F1606" s="3" t="s">
        <v>218</v>
      </c>
      <c r="G1606" s="3" t="s">
        <v>239</v>
      </c>
      <c r="H1606" s="2" t="s">
        <v>65</v>
      </c>
      <c r="I1606" s="2" t="s">
        <v>4080</v>
      </c>
      <c r="J1606" s="3" t="str">
        <f>HYPERLINK("https://www.boe.es/gazeta/dias/1819/08/07/pdfs/GMD-1819-95.pdf#page=1","Abrir facsímil")</f>
        <v>Abrir facsímil</v>
      </c>
      <c r="K1606" s="3" t="s">
        <v>67</v>
      </c>
    </row>
    <row r="1607" spans="1:11" ht="42" customHeight="1">
      <c r="A1607" s="2" t="s">
        <v>4081</v>
      </c>
      <c r="B1607" s="2" t="s">
        <v>4081</v>
      </c>
      <c r="C1607" s="2" t="s">
        <v>63</v>
      </c>
      <c r="D1607" s="2" t="s">
        <v>43</v>
      </c>
      <c r="E1607" s="5">
        <v>-29365</v>
      </c>
      <c r="F1607" s="3" t="s">
        <v>218</v>
      </c>
      <c r="G1607" s="3" t="s">
        <v>296</v>
      </c>
      <c r="H1607" s="2" t="s">
        <v>65</v>
      </c>
      <c r="I1607" s="2" t="s">
        <v>4082</v>
      </c>
      <c r="J1607" s="3" t="str">
        <f>HYPERLINK("https://www.boe.es/gazeta/dias/1819/08/07/pdfs/GMD-1819-95.pdf#page=4","Abrir facsímil")</f>
        <v>Abrir facsímil</v>
      </c>
      <c r="K1607" s="3" t="s">
        <v>67</v>
      </c>
    </row>
    <row r="1608" spans="1:11" ht="42" customHeight="1">
      <c r="A1608" s="2" t="s">
        <v>4083</v>
      </c>
      <c r="B1608" s="2" t="s">
        <v>4083</v>
      </c>
      <c r="C1608" s="2" t="s">
        <v>17</v>
      </c>
      <c r="D1608" s="2" t="s">
        <v>18</v>
      </c>
      <c r="E1608" s="5">
        <v>-29565</v>
      </c>
      <c r="F1608" s="3" t="s">
        <v>293</v>
      </c>
      <c r="G1608" s="3" t="s">
        <v>239</v>
      </c>
      <c r="H1608" s="2" t="s">
        <v>65</v>
      </c>
      <c r="I1608" s="2" t="s">
        <v>4084</v>
      </c>
      <c r="J1608" s="3" t="str">
        <f>HYPERLINK("https://www.boe.es/gazeta/dias/1819/01/19/pdfs/GMD-1819-8.pdf#page=1","Abrir facsímil")</f>
        <v>Abrir facsímil</v>
      </c>
      <c r="K1608" s="3" t="s">
        <v>67</v>
      </c>
    </row>
    <row r="1609" spans="1:11" ht="42" customHeight="1">
      <c r="A1609" s="2" t="s">
        <v>4085</v>
      </c>
      <c r="B1609" s="2" t="s">
        <v>4086</v>
      </c>
      <c r="C1609" s="2" t="s">
        <v>80</v>
      </c>
      <c r="D1609" s="2" t="s">
        <v>81</v>
      </c>
      <c r="E1609" s="5">
        <v>-29442</v>
      </c>
      <c r="F1609" s="3" t="s">
        <v>427</v>
      </c>
      <c r="G1609" s="3" t="s">
        <v>33</v>
      </c>
      <c r="H1609" s="2" t="s">
        <v>65</v>
      </c>
      <c r="I1609" s="2" t="s">
        <v>4087</v>
      </c>
      <c r="J1609" s="3" t="str">
        <f>HYPERLINK("https://www.boe.es/gazeta/dias/1819/05/22/pdfs/GMD-1819-61.pdf#page=6","Abrir facsímil")</f>
        <v>Abrir facsímil</v>
      </c>
      <c r="K1609" s="3" t="s">
        <v>67</v>
      </c>
    </row>
    <row r="1610" spans="1:11" ht="42" customHeight="1">
      <c r="A1610" s="2" t="s">
        <v>4088</v>
      </c>
      <c r="B1610" s="2" t="s">
        <v>4089</v>
      </c>
      <c r="C1610" s="2" t="s">
        <v>136</v>
      </c>
      <c r="D1610" s="2" t="s">
        <v>18</v>
      </c>
      <c r="E1610" s="5">
        <v>-29274</v>
      </c>
      <c r="F1610" s="3" t="s">
        <v>247</v>
      </c>
      <c r="G1610" s="3" t="s">
        <v>28</v>
      </c>
      <c r="H1610" s="2" t="s">
        <v>21</v>
      </c>
      <c r="I1610" s="2" t="s">
        <v>4090</v>
      </c>
      <c r="J1610" s="3" t="str">
        <f>HYPERLINK("https://www.boe.es/gazeta/dias/1819/11/06/pdfs/GMD-1819-137.pdf#page=8","Abrir facsímil")</f>
        <v>Abrir facsímil</v>
      </c>
      <c r="K1610" s="3" t="s">
        <v>23</v>
      </c>
    </row>
    <row r="1611" spans="1:11" ht="42" customHeight="1">
      <c r="A1611" s="2" t="s">
        <v>4091</v>
      </c>
      <c r="B1611" s="2" t="s">
        <v>4092</v>
      </c>
      <c r="C1611" s="2" t="s">
        <v>63</v>
      </c>
      <c r="D1611" s="2" t="s">
        <v>43</v>
      </c>
      <c r="E1611" s="5">
        <v>-29246</v>
      </c>
      <c r="F1611" s="3" t="s">
        <v>494</v>
      </c>
      <c r="G1611" s="3" t="s">
        <v>495</v>
      </c>
      <c r="H1611" s="2" t="s">
        <v>65</v>
      </c>
      <c r="I1611" s="2" t="s">
        <v>4093</v>
      </c>
      <c r="J1611" s="3" t="str">
        <f>HYPERLINK("https://www.boe.es/gazeta/dias/1819/12/04/pdfs/GMD-1819-149.pdf#page=6","Abrir facsímil")</f>
        <v>Abrir facsímil</v>
      </c>
      <c r="K1611" s="3" t="s">
        <v>67</v>
      </c>
    </row>
    <row r="1612" spans="1:11" ht="42" customHeight="1">
      <c r="A1612" s="2" t="s">
        <v>4094</v>
      </c>
      <c r="B1612" s="2" t="s">
        <v>4094</v>
      </c>
      <c r="C1612" s="2" t="s">
        <v>59</v>
      </c>
      <c r="D1612" s="2" t="s">
        <v>18</v>
      </c>
      <c r="E1612" s="5">
        <v>-29365</v>
      </c>
      <c r="F1612" s="3" t="s">
        <v>218</v>
      </c>
      <c r="G1612" s="3" t="s">
        <v>296</v>
      </c>
      <c r="H1612" s="2" t="s">
        <v>65</v>
      </c>
      <c r="I1612" s="2" t="s">
        <v>4095</v>
      </c>
      <c r="J1612" s="3" t="str">
        <f>HYPERLINK("https://www.boe.es/gazeta/dias/1819/08/07/pdfs/GMD-1819-95.pdf#page=4","Abrir facsímil")</f>
        <v>Abrir facsímil</v>
      </c>
      <c r="K1612" s="3" t="s">
        <v>67</v>
      </c>
    </row>
    <row r="1613" spans="1:11" ht="42" customHeight="1">
      <c r="A1613" s="2" t="s">
        <v>4096</v>
      </c>
      <c r="B1613" s="2" t="s">
        <v>4097</v>
      </c>
      <c r="C1613" s="2" t="s">
        <v>63</v>
      </c>
      <c r="D1613" s="2" t="s">
        <v>43</v>
      </c>
      <c r="E1613" s="5">
        <v>-29325</v>
      </c>
      <c r="F1613" s="3" t="s">
        <v>174</v>
      </c>
      <c r="G1613" s="3" t="s">
        <v>33</v>
      </c>
      <c r="H1613" s="2" t="s">
        <v>21</v>
      </c>
      <c r="I1613" s="2" t="s">
        <v>4098</v>
      </c>
      <c r="J1613" s="3" t="str">
        <f>HYPERLINK("https://www.boe.es/gazeta/dias/1819/09/16/pdfs/GMD-1819-113.pdf#page=6","Abrir facsímil")</f>
        <v>Abrir facsímil</v>
      </c>
      <c r="K1613" s="3" t="s">
        <v>23</v>
      </c>
    </row>
    <row r="1614" spans="1:11" ht="42" customHeight="1">
      <c r="A1614" s="2" t="s">
        <v>4099</v>
      </c>
      <c r="B1614" s="2" t="s">
        <v>4100</v>
      </c>
      <c r="C1614" s="2" t="s">
        <v>63</v>
      </c>
      <c r="D1614" s="2" t="s">
        <v>43</v>
      </c>
      <c r="E1614" s="5">
        <v>-29281</v>
      </c>
      <c r="F1614" s="3" t="s">
        <v>19</v>
      </c>
      <c r="G1614" s="3" t="s">
        <v>55</v>
      </c>
      <c r="H1614" s="2" t="s">
        <v>65</v>
      </c>
      <c r="I1614" s="2" t="s">
        <v>4101</v>
      </c>
      <c r="J1614" s="3" t="str">
        <f>HYPERLINK("https://www.boe.es/gazeta/dias/1819/10/30/pdfs/GMD-1819-134.pdf#page=7","Abrir facsímil")</f>
        <v>Abrir facsímil</v>
      </c>
      <c r="K1614" s="3" t="s">
        <v>67</v>
      </c>
    </row>
    <row r="1615" spans="1:11" ht="42" customHeight="1">
      <c r="A1615" s="2" t="s">
        <v>4102</v>
      </c>
      <c r="B1615" s="2" t="s">
        <v>4102</v>
      </c>
      <c r="C1615" s="2" t="s">
        <v>80</v>
      </c>
      <c r="D1615" s="2" t="s">
        <v>81</v>
      </c>
      <c r="E1615" s="5">
        <v>-29271</v>
      </c>
      <c r="F1615" s="3" t="s">
        <v>32</v>
      </c>
      <c r="G1615" s="3" t="s">
        <v>259</v>
      </c>
      <c r="H1615" s="2" t="s">
        <v>65</v>
      </c>
      <c r="I1615" s="2" t="s">
        <v>4103</v>
      </c>
      <c r="J1615" s="3" t="str">
        <f>HYPERLINK("https://www.boe.es/gazeta/dias/1819/11/09/pdfs/GMD-1819-138.pdf#page=2","Abrir facsímil")</f>
        <v>Abrir facsímil</v>
      </c>
      <c r="K1615" s="3" t="s">
        <v>67</v>
      </c>
    </row>
    <row r="1616" spans="1:11" ht="42" customHeight="1">
      <c r="A1616" s="2" t="s">
        <v>4104</v>
      </c>
      <c r="B1616" s="2" t="s">
        <v>4105</v>
      </c>
      <c r="C1616" s="2" t="s">
        <v>80</v>
      </c>
      <c r="D1616" s="2" t="s">
        <v>81</v>
      </c>
      <c r="E1616" s="5">
        <v>-29528</v>
      </c>
      <c r="F1616" s="3" t="s">
        <v>708</v>
      </c>
      <c r="G1616" s="3" t="s">
        <v>28</v>
      </c>
      <c r="H1616" s="2" t="s">
        <v>65</v>
      </c>
      <c r="I1616" s="2" t="s">
        <v>4106</v>
      </c>
      <c r="J1616" s="3" t="str">
        <f>HYPERLINK("https://www.boe.es/gazeta/dias/1819/02/25/pdfs/GMD-1819-24.pdf#page=8","Abrir facsímil")</f>
        <v>Abrir facsímil</v>
      </c>
      <c r="K1616" s="3" t="s">
        <v>67</v>
      </c>
    </row>
    <row r="1617" spans="1:11" ht="42" customHeight="1">
      <c r="A1617" s="2" t="s">
        <v>4107</v>
      </c>
      <c r="B1617" s="2" t="s">
        <v>4108</v>
      </c>
      <c r="C1617" s="2" t="s">
        <v>80</v>
      </c>
      <c r="D1617" s="2" t="s">
        <v>81</v>
      </c>
      <c r="E1617" s="5">
        <v>-29479</v>
      </c>
      <c r="F1617" s="3" t="s">
        <v>979</v>
      </c>
      <c r="G1617" s="3" t="s">
        <v>296</v>
      </c>
      <c r="H1617" s="2" t="s">
        <v>65</v>
      </c>
      <c r="I1617" s="2" t="s">
        <v>4109</v>
      </c>
      <c r="J1617" s="3" t="str">
        <f>HYPERLINK("https://www.boe.es/gazeta/dias/1819/04/15/pdfs/GMD-1819-45.pdf#page=4","Abrir facsímil")</f>
        <v>Abrir facsímil</v>
      </c>
      <c r="K1617" s="3" t="s">
        <v>67</v>
      </c>
    </row>
    <row r="1618" spans="1:11" ht="42" customHeight="1">
      <c r="A1618" s="2" t="s">
        <v>4110</v>
      </c>
      <c r="B1618" s="2" t="s">
        <v>4111</v>
      </c>
      <c r="C1618" s="2" t="s">
        <v>80</v>
      </c>
      <c r="D1618" s="2" t="s">
        <v>81</v>
      </c>
      <c r="E1618" s="5">
        <v>-29528</v>
      </c>
      <c r="F1618" s="3" t="s">
        <v>708</v>
      </c>
      <c r="G1618" s="3" t="s">
        <v>28</v>
      </c>
      <c r="H1618" s="2" t="s">
        <v>65</v>
      </c>
      <c r="I1618" s="2" t="s">
        <v>4112</v>
      </c>
      <c r="J1618" s="3" t="str">
        <f>HYPERLINK("https://www.boe.es/gazeta/dias/1819/02/25/pdfs/GMD-1819-24.pdf#page=8","Abrir facsímil")</f>
        <v>Abrir facsímil</v>
      </c>
      <c r="K1618" s="3" t="s">
        <v>67</v>
      </c>
    </row>
    <row r="1619" spans="1:11" ht="42" customHeight="1">
      <c r="A1619" s="2" t="s">
        <v>4113</v>
      </c>
      <c r="B1619" s="2" t="s">
        <v>4114</v>
      </c>
      <c r="C1619" s="2" t="s">
        <v>26</v>
      </c>
      <c r="D1619" s="2" t="s">
        <v>18</v>
      </c>
      <c r="E1619" s="5">
        <v>-29325</v>
      </c>
      <c r="F1619" s="3" t="s">
        <v>174</v>
      </c>
      <c r="G1619" s="3" t="s">
        <v>2480</v>
      </c>
      <c r="H1619" s="2" t="s">
        <v>65</v>
      </c>
      <c r="I1619" s="2" t="s">
        <v>4115</v>
      </c>
      <c r="J1619" s="3" t="str">
        <f>HYPERLINK("https://www.boe.es/gazeta/dias/1819/09/16/pdfs/GMD-1819-113.pdf#page=5","Abrir facsímil")</f>
        <v>Abrir facsímil</v>
      </c>
      <c r="K1619" s="3" t="s">
        <v>67</v>
      </c>
    </row>
    <row r="1620" spans="1:11" ht="42" customHeight="1">
      <c r="A1620" s="2" t="s">
        <v>4116</v>
      </c>
      <c r="B1620" s="2" t="s">
        <v>4117</v>
      </c>
      <c r="C1620" s="2" t="s">
        <v>80</v>
      </c>
      <c r="D1620" s="2" t="s">
        <v>81</v>
      </c>
      <c r="E1620" s="5">
        <v>-29381</v>
      </c>
      <c r="F1620" s="3" t="s">
        <v>736</v>
      </c>
      <c r="G1620" s="3" t="s">
        <v>737</v>
      </c>
      <c r="H1620" s="2" t="s">
        <v>65</v>
      </c>
      <c r="I1620" s="2" t="s">
        <v>4118</v>
      </c>
      <c r="J1620" s="3" t="str">
        <f>HYPERLINK("https://www.boe.es/gazeta/dias/1819/07/22/pdfs/GMD-1819-88.pdf#page=8","Abrir facsímil")</f>
        <v>Abrir facsímil</v>
      </c>
      <c r="K1620" s="3" t="s">
        <v>67</v>
      </c>
    </row>
    <row r="1621" spans="1:11" ht="42" customHeight="1">
      <c r="A1621" s="2" t="s">
        <v>4119</v>
      </c>
      <c r="B1621" s="2" t="s">
        <v>4120</v>
      </c>
      <c r="C1621" s="2" t="s">
        <v>80</v>
      </c>
      <c r="D1621" s="2" t="s">
        <v>81</v>
      </c>
      <c r="E1621" s="5">
        <v>-29439</v>
      </c>
      <c r="F1621" s="3" t="s">
        <v>1101</v>
      </c>
      <c r="G1621" s="3" t="s">
        <v>296</v>
      </c>
      <c r="H1621" s="2" t="s">
        <v>65</v>
      </c>
      <c r="I1621" s="2" t="s">
        <v>4121</v>
      </c>
      <c r="J1621" s="3" t="str">
        <f>HYPERLINK("https://www.boe.es/gazeta/dias/1819/05/25/pdfs/GMD-1819-62.pdf#page=4","Abrir facsímil")</f>
        <v>Abrir facsímil</v>
      </c>
      <c r="K1621" s="3" t="s">
        <v>67</v>
      </c>
    </row>
    <row r="1622" spans="1:11" ht="42" customHeight="1">
      <c r="A1622" s="2" t="s">
        <v>4122</v>
      </c>
      <c r="B1622" s="2" t="s">
        <v>4123</v>
      </c>
      <c r="C1622" s="2" t="s">
        <v>17</v>
      </c>
      <c r="D1622" s="2" t="s">
        <v>18</v>
      </c>
      <c r="E1622" s="5">
        <v>-29316</v>
      </c>
      <c r="F1622" s="3" t="s">
        <v>166</v>
      </c>
      <c r="G1622" s="3" t="s">
        <v>55</v>
      </c>
      <c r="H1622" s="2" t="s">
        <v>65</v>
      </c>
      <c r="I1622" s="2" t="s">
        <v>4124</v>
      </c>
      <c r="J1622" s="3" t="str">
        <f>HYPERLINK("https://www.boe.es/gazeta/dias/1819/09/25/pdfs/GMD-1819-118.pdf#page=7","Abrir facsímil")</f>
        <v>Abrir facsímil</v>
      </c>
      <c r="K1622" s="3" t="s">
        <v>67</v>
      </c>
    </row>
    <row r="1623" spans="1:11" ht="42" customHeight="1">
      <c r="A1623" s="2" t="s">
        <v>4125</v>
      </c>
      <c r="B1623" s="2" t="s">
        <v>4126</v>
      </c>
      <c r="C1623" s="2" t="s">
        <v>59</v>
      </c>
      <c r="D1623" s="2" t="s">
        <v>18</v>
      </c>
      <c r="E1623" s="5">
        <v>-29425</v>
      </c>
      <c r="F1623" s="3" t="s">
        <v>110</v>
      </c>
      <c r="G1623" s="3" t="s">
        <v>55</v>
      </c>
      <c r="H1623" s="2" t="s">
        <v>65</v>
      </c>
      <c r="I1623" s="2" t="s">
        <v>4127</v>
      </c>
      <c r="J1623" s="3" t="str">
        <f>HYPERLINK("https://www.boe.es/gazeta/dias/1819/06/08/pdfs/GMD-1819-68.pdf#page=7","Abrir facsímil")</f>
        <v>Abrir facsímil</v>
      </c>
      <c r="K1623" s="3" t="s">
        <v>67</v>
      </c>
    </row>
    <row r="1624" spans="1:11" ht="42" customHeight="1">
      <c r="A1624" s="2" t="s">
        <v>4128</v>
      </c>
      <c r="B1624" s="2" t="s">
        <v>4129</v>
      </c>
      <c r="C1624" s="2" t="s">
        <v>17</v>
      </c>
      <c r="D1624" s="2" t="s">
        <v>18</v>
      </c>
      <c r="E1624" s="5">
        <v>-29526</v>
      </c>
      <c r="F1624" s="3" t="s">
        <v>307</v>
      </c>
      <c r="G1624" s="3" t="s">
        <v>308</v>
      </c>
      <c r="H1624" s="2" t="s">
        <v>65</v>
      </c>
      <c r="I1624" s="2" t="s">
        <v>4130</v>
      </c>
      <c r="J1624" s="3" t="str">
        <f>HYPERLINK("https://www.boe.es/gazeta/dias/1819/02/27/pdfs/GMD-1819-25.pdf#page=6","Abrir facsímil")</f>
        <v>Abrir facsímil</v>
      </c>
      <c r="K1624" s="3" t="s">
        <v>67</v>
      </c>
    </row>
    <row r="1625" spans="1:11" ht="42" customHeight="1">
      <c r="A1625" s="2" t="s">
        <v>4131</v>
      </c>
      <c r="B1625" s="2" t="s">
        <v>4132</v>
      </c>
      <c r="C1625" s="2" t="s">
        <v>17</v>
      </c>
      <c r="D1625" s="2" t="s">
        <v>18</v>
      </c>
      <c r="E1625" s="5">
        <v>-29540</v>
      </c>
      <c r="F1625" s="3" t="s">
        <v>154</v>
      </c>
      <c r="G1625" s="3" t="s">
        <v>55</v>
      </c>
      <c r="H1625" s="2" t="s">
        <v>65</v>
      </c>
      <c r="I1625" s="2" t="s">
        <v>4133</v>
      </c>
      <c r="J1625" s="3" t="str">
        <f>HYPERLINK("https://www.boe.es/gazeta/dias/1819/02/13/pdfs/GMD-1819-19.pdf#page=7","Abrir facsímil")</f>
        <v>Abrir facsímil</v>
      </c>
      <c r="K1625" s="3" t="s">
        <v>67</v>
      </c>
    </row>
    <row r="1626" spans="1:11" ht="42" customHeight="1">
      <c r="A1626" s="2" t="s">
        <v>4134</v>
      </c>
      <c r="B1626" s="2" t="s">
        <v>4135</v>
      </c>
      <c r="C1626" s="2" t="s">
        <v>26</v>
      </c>
      <c r="D1626" s="2" t="s">
        <v>18</v>
      </c>
      <c r="E1626" s="5">
        <v>-29521</v>
      </c>
      <c r="F1626" s="3" t="s">
        <v>1002</v>
      </c>
      <c r="G1626" s="3" t="s">
        <v>33</v>
      </c>
      <c r="H1626" s="2" t="s">
        <v>65</v>
      </c>
      <c r="I1626" s="2" t="s">
        <v>4136</v>
      </c>
      <c r="J1626" s="3" t="str">
        <f>HYPERLINK("https://www.boe.es/gazeta/dias/1819/03/04/pdfs/GMD-1819-27.pdf#page=6","Abrir facsímil")</f>
        <v>Abrir facsímil</v>
      </c>
      <c r="K1626" s="3" t="s">
        <v>67</v>
      </c>
    </row>
    <row r="1627" spans="1:11" ht="42" customHeight="1">
      <c r="A1627" s="2" t="s">
        <v>4137</v>
      </c>
      <c r="B1627" s="2" t="s">
        <v>4138</v>
      </c>
      <c r="C1627" s="2" t="s">
        <v>59</v>
      </c>
      <c r="D1627" s="2" t="s">
        <v>18</v>
      </c>
      <c r="E1627" s="5">
        <v>-29276</v>
      </c>
      <c r="F1627" s="3" t="s">
        <v>54</v>
      </c>
      <c r="G1627" s="3" t="s">
        <v>284</v>
      </c>
      <c r="H1627" s="2" t="s">
        <v>65</v>
      </c>
      <c r="I1627" s="2" t="s">
        <v>4139</v>
      </c>
      <c r="J1627" s="3" t="str">
        <f>HYPERLINK("https://www.boe.es/gazeta/dias/1819/11/04/pdfs/GMD-1819-136.pdf#page=6","Abrir facsímil")</f>
        <v>Abrir facsímil</v>
      </c>
      <c r="K1627" s="3" t="s">
        <v>67</v>
      </c>
    </row>
    <row r="1628" spans="1:11" ht="42" customHeight="1">
      <c r="A1628" s="2" t="s">
        <v>4140</v>
      </c>
      <c r="B1628" s="2" t="s">
        <v>4141</v>
      </c>
      <c r="C1628" s="2" t="s">
        <v>80</v>
      </c>
      <c r="D1628" s="2" t="s">
        <v>81</v>
      </c>
      <c r="E1628" s="5">
        <v>-29400</v>
      </c>
      <c r="F1628" s="3" t="s">
        <v>2181</v>
      </c>
      <c r="G1628" s="3" t="s">
        <v>4142</v>
      </c>
      <c r="H1628" s="2" t="s">
        <v>65</v>
      </c>
      <c r="I1628" s="2" t="s">
        <v>4143</v>
      </c>
      <c r="J1628" s="3" t="str">
        <f>HYPERLINK("https://www.boe.es/gazeta/dias/1819/07/03/pdfs/GMD-1819-80.pdf#page=4","Abrir facsímil")</f>
        <v>Abrir facsímil</v>
      </c>
      <c r="K1628" s="3" t="s">
        <v>67</v>
      </c>
    </row>
    <row r="1629" spans="1:11" ht="42" customHeight="1">
      <c r="A1629" s="2" t="s">
        <v>4144</v>
      </c>
      <c r="B1629" s="2" t="s">
        <v>4145</v>
      </c>
      <c r="C1629" s="2" t="s">
        <v>80</v>
      </c>
      <c r="D1629" s="2" t="s">
        <v>81</v>
      </c>
      <c r="E1629" s="5">
        <v>-29285</v>
      </c>
      <c r="F1629" s="3" t="s">
        <v>578</v>
      </c>
      <c r="G1629" s="3" t="s">
        <v>33</v>
      </c>
      <c r="H1629" s="2" t="s">
        <v>21</v>
      </c>
      <c r="I1629" s="2" t="s">
        <v>4146</v>
      </c>
      <c r="J1629" s="3" t="str">
        <f>HYPERLINK("https://www.boe.es/gazeta/dias/1819/10/26/pdfs/GMD-1819-132.pdf#page=6","Abrir facsímil")</f>
        <v>Abrir facsímil</v>
      </c>
      <c r="K1629" s="3" t="s">
        <v>23</v>
      </c>
    </row>
    <row r="1630" spans="1:11" ht="42" customHeight="1">
      <c r="A1630" s="2" t="s">
        <v>4147</v>
      </c>
      <c r="B1630" s="2" t="s">
        <v>4148</v>
      </c>
      <c r="C1630" s="2" t="s">
        <v>59</v>
      </c>
      <c r="D1630" s="2" t="s">
        <v>18</v>
      </c>
      <c r="E1630" s="5">
        <v>-29582</v>
      </c>
      <c r="F1630" s="3" t="s">
        <v>376</v>
      </c>
      <c r="G1630" s="3" t="s">
        <v>259</v>
      </c>
      <c r="H1630" s="2" t="s">
        <v>65</v>
      </c>
      <c r="I1630" s="2" t="s">
        <v>4149</v>
      </c>
      <c r="J1630" s="3" t="str">
        <f>HYPERLINK("https://www.boe.es/gazeta/dias/1819/01/02/pdfs/GMD-1819-1.pdf#page=2","Abrir facsímil")</f>
        <v>Abrir facsímil</v>
      </c>
      <c r="K1630" s="3" t="s">
        <v>67</v>
      </c>
    </row>
    <row r="1631" spans="1:11" ht="42" customHeight="1">
      <c r="A1631" s="2" t="s">
        <v>4150</v>
      </c>
      <c r="B1631" s="2" t="s">
        <v>4151</v>
      </c>
      <c r="C1631" s="2" t="s">
        <v>59</v>
      </c>
      <c r="D1631" s="2" t="s">
        <v>18</v>
      </c>
      <c r="E1631" s="5">
        <v>-29271</v>
      </c>
      <c r="F1631" s="3" t="s">
        <v>32</v>
      </c>
      <c r="G1631" s="3" t="s">
        <v>33</v>
      </c>
      <c r="H1631" s="2" t="s">
        <v>21</v>
      </c>
      <c r="I1631" s="2" t="s">
        <v>4152</v>
      </c>
      <c r="J1631" s="3" t="str">
        <f>HYPERLINK("https://www.boe.es/gazeta/dias/1819/11/09/pdfs/GMD-1819-138.pdf#page=6","Abrir facsímil")</f>
        <v>Abrir facsímil</v>
      </c>
      <c r="K1631" s="3" t="s">
        <v>23</v>
      </c>
    </row>
    <row r="1632" spans="1:11" ht="42" customHeight="1">
      <c r="A1632" s="2" t="s">
        <v>4153</v>
      </c>
      <c r="B1632" s="2" t="s">
        <v>4154</v>
      </c>
      <c r="C1632" s="2" t="s">
        <v>80</v>
      </c>
      <c r="D1632" s="2" t="s">
        <v>81</v>
      </c>
      <c r="E1632" s="5">
        <v>-29253</v>
      </c>
      <c r="F1632" s="3" t="s">
        <v>242</v>
      </c>
      <c r="G1632" s="3" t="s">
        <v>1048</v>
      </c>
      <c r="H1632" s="2" t="s">
        <v>21</v>
      </c>
      <c r="I1632" s="2" t="s">
        <v>4155</v>
      </c>
      <c r="J1632" s="3" t="str">
        <f>HYPERLINK("https://www.boe.es/gazeta/dias/1819/11/27/pdfs/GMD-1819-146.pdf#page=5","Abrir facsímil")</f>
        <v>Abrir facsímil</v>
      </c>
      <c r="K1632" s="3" t="s">
        <v>23</v>
      </c>
    </row>
    <row r="1633" spans="1:11" ht="42" customHeight="1">
      <c r="A1633" s="2" t="s">
        <v>4156</v>
      </c>
      <c r="B1633" s="2" t="s">
        <v>4157</v>
      </c>
      <c r="C1633" s="2" t="s">
        <v>17</v>
      </c>
      <c r="D1633" s="2" t="s">
        <v>18</v>
      </c>
      <c r="E1633" s="5">
        <v>-29271</v>
      </c>
      <c r="F1633" s="3" t="s">
        <v>32</v>
      </c>
      <c r="G1633" s="3" t="s">
        <v>33</v>
      </c>
      <c r="H1633" s="2" t="s">
        <v>21</v>
      </c>
      <c r="I1633" s="2" t="s">
        <v>4158</v>
      </c>
      <c r="J1633" s="3" t="str">
        <f>HYPERLINK("https://www.boe.es/gazeta/dias/1819/11/09/pdfs/GMD-1819-138.pdf#page=6","Abrir facsímil")</f>
        <v>Abrir facsímil</v>
      </c>
      <c r="K1633" s="3" t="s">
        <v>23</v>
      </c>
    </row>
    <row r="1634" spans="1:11" ht="42" customHeight="1">
      <c r="A1634" s="2" t="s">
        <v>4159</v>
      </c>
      <c r="B1634" s="2" t="s">
        <v>4160</v>
      </c>
      <c r="C1634" s="2" t="s">
        <v>17</v>
      </c>
      <c r="D1634" s="2" t="s">
        <v>18</v>
      </c>
      <c r="E1634" s="5">
        <v>-29281</v>
      </c>
      <c r="F1634" s="3" t="s">
        <v>19</v>
      </c>
      <c r="G1634" s="3" t="s">
        <v>20</v>
      </c>
      <c r="H1634" s="2" t="s">
        <v>21</v>
      </c>
      <c r="I1634" s="2" t="s">
        <v>4161</v>
      </c>
      <c r="J1634" s="3" t="str">
        <f>HYPERLINK("https://www.boe.es/gazeta/dias/1819/10/30/pdfs/GMD-1819-134.pdf#page=10","Abrir facsímil")</f>
        <v>Abrir facsímil</v>
      </c>
      <c r="K1634" s="3" t="s">
        <v>23</v>
      </c>
    </row>
    <row r="1635" spans="1:11" ht="42" customHeight="1">
      <c r="A1635" s="2" t="s">
        <v>4159</v>
      </c>
      <c r="B1635" s="2" t="s">
        <v>4160</v>
      </c>
      <c r="C1635" s="2" t="s">
        <v>17</v>
      </c>
      <c r="D1635" s="2" t="s">
        <v>18</v>
      </c>
      <c r="E1635" s="5">
        <v>-29257</v>
      </c>
      <c r="F1635" s="3" t="s">
        <v>73</v>
      </c>
      <c r="G1635" s="3" t="s">
        <v>33</v>
      </c>
      <c r="H1635" s="2" t="s">
        <v>21</v>
      </c>
      <c r="I1635" s="2" t="s">
        <v>4162</v>
      </c>
      <c r="J1635" s="3" t="str">
        <f>HYPERLINK("https://www.boe.es/gazeta/dias/1819/11/23/pdfs/GMD-1819-144.pdf#page=6","Abrir facsímil")</f>
        <v>Abrir facsímil</v>
      </c>
      <c r="K1635" s="3" t="s">
        <v>23</v>
      </c>
    </row>
    <row r="1636" spans="1:11" ht="42" customHeight="1">
      <c r="A1636" s="2" t="s">
        <v>4163</v>
      </c>
      <c r="B1636" s="2" t="s">
        <v>4164</v>
      </c>
      <c r="C1636" s="2" t="s">
        <v>59</v>
      </c>
      <c r="D1636" s="2" t="s">
        <v>18</v>
      </c>
      <c r="E1636" s="5">
        <v>-29276</v>
      </c>
      <c r="F1636" s="3" t="s">
        <v>54</v>
      </c>
      <c r="G1636" s="3" t="s">
        <v>284</v>
      </c>
      <c r="H1636" s="2" t="s">
        <v>21</v>
      </c>
      <c r="I1636" s="2" t="s">
        <v>4165</v>
      </c>
      <c r="J1636" s="3" t="str">
        <f>HYPERLINK("https://www.boe.es/gazeta/dias/1819/11/04/pdfs/GMD-1819-136.pdf#page=6","Abrir facsímil")</f>
        <v>Abrir facsímil</v>
      </c>
      <c r="K1636" s="3" t="s">
        <v>23</v>
      </c>
    </row>
    <row r="1637" spans="1:11" ht="42" customHeight="1">
      <c r="A1637" s="2" t="s">
        <v>4166</v>
      </c>
      <c r="B1637" s="2" t="s">
        <v>4167</v>
      </c>
      <c r="C1637" s="2" t="s">
        <v>63</v>
      </c>
      <c r="D1637" s="2" t="s">
        <v>43</v>
      </c>
      <c r="E1637" s="5">
        <v>-29540</v>
      </c>
      <c r="F1637" s="3" t="s">
        <v>154</v>
      </c>
      <c r="G1637" s="3" t="s">
        <v>239</v>
      </c>
      <c r="H1637" s="2" t="s">
        <v>65</v>
      </c>
      <c r="I1637" s="2" t="s">
        <v>4168</v>
      </c>
      <c r="J1637" s="3" t="str">
        <f>HYPERLINK("https://www.boe.es/gazeta/dias/1819/02/13/pdfs/GMD-1819-19.pdf#page=1","Abrir facsímil")</f>
        <v>Abrir facsímil</v>
      </c>
      <c r="K1637" s="3" t="s">
        <v>67</v>
      </c>
    </row>
    <row r="1638" spans="1:11" ht="42" customHeight="1">
      <c r="A1638" s="2" t="s">
        <v>4169</v>
      </c>
      <c r="B1638" s="2" t="s">
        <v>4170</v>
      </c>
      <c r="C1638" s="2" t="s">
        <v>63</v>
      </c>
      <c r="D1638" s="2" t="s">
        <v>43</v>
      </c>
      <c r="E1638" s="5">
        <v>-29463</v>
      </c>
      <c r="F1638" s="3" t="s">
        <v>114</v>
      </c>
      <c r="G1638" s="3" t="s">
        <v>28</v>
      </c>
      <c r="H1638" s="2" t="s">
        <v>65</v>
      </c>
      <c r="I1638" s="2" t="s">
        <v>4171</v>
      </c>
      <c r="J1638" s="3" t="str">
        <f>HYPERLINK("https://www.boe.es/gazeta/dias/1819/05/01/pdfs/GMD-1819-52.pdf#page=8","Abrir facsímil")</f>
        <v>Abrir facsímil</v>
      </c>
      <c r="K1638" s="3" t="s">
        <v>67</v>
      </c>
    </row>
    <row r="1639" spans="1:11" ht="42" customHeight="1">
      <c r="A1639" s="2" t="s">
        <v>4172</v>
      </c>
      <c r="B1639" s="2" t="s">
        <v>4172</v>
      </c>
      <c r="C1639" s="2" t="s">
        <v>63</v>
      </c>
      <c r="D1639" s="2" t="s">
        <v>43</v>
      </c>
      <c r="E1639" s="5">
        <v>-29435</v>
      </c>
      <c r="F1639" s="3" t="s">
        <v>191</v>
      </c>
      <c r="G1639" s="3" t="s">
        <v>102</v>
      </c>
      <c r="H1639" s="2" t="s">
        <v>65</v>
      </c>
      <c r="I1639" s="2" t="s">
        <v>4173</v>
      </c>
      <c r="J1639" s="3" t="str">
        <f>HYPERLINK("https://www.boe.es/gazeta/dias/1819/05/29/pdfs/GMD-1819-64.pdf#page=3","Abrir facsímil")</f>
        <v>Abrir facsímil</v>
      </c>
      <c r="K1639" s="3" t="s">
        <v>67</v>
      </c>
    </row>
    <row r="1640" spans="1:11" ht="42" customHeight="1">
      <c r="A1640" s="2" t="s">
        <v>4174</v>
      </c>
      <c r="B1640" s="2" t="s">
        <v>4174</v>
      </c>
      <c r="C1640" s="2" t="s">
        <v>59</v>
      </c>
      <c r="D1640" s="2" t="s">
        <v>18</v>
      </c>
      <c r="E1640" s="5">
        <v>-29463</v>
      </c>
      <c r="F1640" s="3" t="s">
        <v>114</v>
      </c>
      <c r="G1640" s="3" t="s">
        <v>102</v>
      </c>
      <c r="H1640" s="2" t="s">
        <v>65</v>
      </c>
      <c r="I1640" s="2" t="s">
        <v>4175</v>
      </c>
      <c r="J1640" s="3" t="str">
        <f>HYPERLINK("https://www.boe.es/gazeta/dias/1819/05/01/pdfs/GMD-1819-52.pdf#page=3","Abrir facsímil")</f>
        <v>Abrir facsímil</v>
      </c>
      <c r="K1640" s="3" t="s">
        <v>67</v>
      </c>
    </row>
    <row r="1641" spans="1:11" ht="42" customHeight="1">
      <c r="A1641" s="2" t="s">
        <v>4176</v>
      </c>
      <c r="B1641" s="2" t="s">
        <v>4176</v>
      </c>
      <c r="C1641" s="2" t="s">
        <v>59</v>
      </c>
      <c r="D1641" s="2" t="s">
        <v>18</v>
      </c>
      <c r="E1641" s="5">
        <v>-29523</v>
      </c>
      <c r="F1641" s="3" t="s">
        <v>436</v>
      </c>
      <c r="G1641" s="3" t="s">
        <v>296</v>
      </c>
      <c r="H1641" s="2" t="s">
        <v>65</v>
      </c>
      <c r="I1641" s="2" t="s">
        <v>4177</v>
      </c>
      <c r="J1641" s="3" t="str">
        <f>HYPERLINK("https://www.boe.es/gazeta/dias/1819/03/02/pdfs/GMD-1819-26.pdf#page=4","Abrir facsímil")</f>
        <v>Abrir facsímil</v>
      </c>
      <c r="K1641" s="3" t="s">
        <v>67</v>
      </c>
    </row>
    <row r="1642" spans="1:11" ht="42" customHeight="1">
      <c r="A1642" s="2" t="s">
        <v>4178</v>
      </c>
      <c r="B1642" s="2" t="s">
        <v>4179</v>
      </c>
      <c r="C1642" s="2" t="s">
        <v>246</v>
      </c>
      <c r="D1642" s="2" t="s">
        <v>18</v>
      </c>
      <c r="E1642" s="5">
        <v>-29523</v>
      </c>
      <c r="F1642" s="3" t="s">
        <v>436</v>
      </c>
      <c r="G1642" s="3" t="s">
        <v>296</v>
      </c>
      <c r="H1642" s="2" t="s">
        <v>65</v>
      </c>
      <c r="I1642" s="2" t="s">
        <v>4180</v>
      </c>
      <c r="J1642" s="3" t="str">
        <f>HYPERLINK("https://www.boe.es/gazeta/dias/1819/03/02/pdfs/GMD-1819-26.pdf#page=4","Abrir facsímil")</f>
        <v>Abrir facsímil</v>
      </c>
      <c r="K1642" s="3" t="s">
        <v>67</v>
      </c>
    </row>
    <row r="1643" spans="1:11" ht="42" customHeight="1">
      <c r="A1643" s="2" t="s">
        <v>4181</v>
      </c>
      <c r="B1643" s="2" t="s">
        <v>4181</v>
      </c>
      <c r="C1643" s="2" t="s">
        <v>59</v>
      </c>
      <c r="D1643" s="2" t="s">
        <v>18</v>
      </c>
      <c r="E1643" s="5">
        <v>-29547</v>
      </c>
      <c r="F1643" s="3" t="s">
        <v>238</v>
      </c>
      <c r="G1643" s="3" t="s">
        <v>296</v>
      </c>
      <c r="H1643" s="2" t="s">
        <v>65</v>
      </c>
      <c r="I1643" s="2" t="s">
        <v>4182</v>
      </c>
      <c r="J1643" s="3" t="str">
        <f>HYPERLINK("https://www.boe.es/gazeta/dias/1819/02/06/pdfs/GMD-1819-16.pdf#page=4","Abrir facsímil")</f>
        <v>Abrir facsímil</v>
      </c>
      <c r="K1643" s="3" t="s">
        <v>67</v>
      </c>
    </row>
    <row r="1644" spans="1:11" ht="42" customHeight="1">
      <c r="A1644" s="2" t="s">
        <v>4183</v>
      </c>
      <c r="B1644" s="2" t="s">
        <v>4184</v>
      </c>
      <c r="C1644" s="2" t="s">
        <v>63</v>
      </c>
      <c r="D1644" s="2" t="s">
        <v>43</v>
      </c>
      <c r="E1644" s="5">
        <v>-29288</v>
      </c>
      <c r="F1644" s="3" t="s">
        <v>334</v>
      </c>
      <c r="G1644" s="3" t="s">
        <v>2162</v>
      </c>
      <c r="H1644" s="2" t="s">
        <v>65</v>
      </c>
      <c r="I1644" s="2" t="s">
        <v>4185</v>
      </c>
      <c r="J1644" s="3" t="str">
        <f>HYPERLINK("https://www.boe.es/gazeta/dias/1819/10/23/pdfs/GMD-1819-130.pdf#page=7","Abrir facsímil")</f>
        <v>Abrir facsímil</v>
      </c>
      <c r="K1644" s="3" t="s">
        <v>67</v>
      </c>
    </row>
    <row r="1645" spans="1:11" ht="42" customHeight="1">
      <c r="A1645" s="2" t="s">
        <v>4186</v>
      </c>
      <c r="B1645" s="2" t="s">
        <v>4187</v>
      </c>
      <c r="C1645" s="2" t="s">
        <v>80</v>
      </c>
      <c r="D1645" s="2" t="s">
        <v>454</v>
      </c>
      <c r="E1645" s="5">
        <v>-29287</v>
      </c>
      <c r="F1645" s="3" t="s">
        <v>455</v>
      </c>
      <c r="G1645" s="3" t="s">
        <v>1113</v>
      </c>
      <c r="H1645" s="2" t="s">
        <v>65</v>
      </c>
      <c r="I1645" s="2" t="s">
        <v>4188</v>
      </c>
      <c r="J1645" s="3" t="str">
        <f>HYPERLINK("https://www.boe.es/gazeta/dias/1819/10/24/pdfs/GMD-1819-131E.pdf#page=7","Abrir facsímil")</f>
        <v>Abrir facsímil</v>
      </c>
      <c r="K1645" s="3" t="s">
        <v>67</v>
      </c>
    </row>
    <row r="1646" spans="1:11" ht="42" customHeight="1">
      <c r="A1646" s="2" t="s">
        <v>4189</v>
      </c>
      <c r="B1646" s="2" t="s">
        <v>4189</v>
      </c>
      <c r="C1646" s="2" t="s">
        <v>63</v>
      </c>
      <c r="D1646" s="2" t="s">
        <v>43</v>
      </c>
      <c r="E1646" s="5">
        <v>-29579</v>
      </c>
      <c r="F1646" s="3" t="s">
        <v>186</v>
      </c>
      <c r="G1646" s="3" t="s">
        <v>38</v>
      </c>
      <c r="H1646" s="2" t="s">
        <v>65</v>
      </c>
      <c r="I1646" s="2" t="s">
        <v>4190</v>
      </c>
      <c r="J1646" s="3" t="str">
        <f>HYPERLINK("https://www.boe.es/gazeta/dias/1819/01/05/pdfs/GMD-1819-2.pdf#page=5","Abrir facsímil")</f>
        <v>Abrir facsímil</v>
      </c>
      <c r="K1646" s="3" t="s">
        <v>67</v>
      </c>
    </row>
    <row r="1647" spans="1:11" ht="42" customHeight="1">
      <c r="A1647" s="2" t="s">
        <v>4189</v>
      </c>
      <c r="B1647" s="2" t="s">
        <v>4189</v>
      </c>
      <c r="C1647" s="2" t="s">
        <v>80</v>
      </c>
      <c r="D1647" s="2" t="s">
        <v>81</v>
      </c>
      <c r="E1647" s="5">
        <v>-29463</v>
      </c>
      <c r="F1647" s="3" t="s">
        <v>114</v>
      </c>
      <c r="G1647" s="3" t="s">
        <v>259</v>
      </c>
      <c r="H1647" s="2" t="s">
        <v>65</v>
      </c>
      <c r="I1647" s="2" t="s">
        <v>4191</v>
      </c>
      <c r="J1647" s="3" t="str">
        <f>HYPERLINK("https://www.boe.es/gazeta/dias/1819/05/01/pdfs/GMD-1819-52.pdf#page=2","Abrir facsímil")</f>
        <v>Abrir facsímil</v>
      </c>
      <c r="K1647" s="3" t="s">
        <v>67</v>
      </c>
    </row>
    <row r="1648" spans="1:11" ht="42" customHeight="1">
      <c r="A1648" s="2" t="s">
        <v>4189</v>
      </c>
      <c r="B1648" s="2" t="s">
        <v>4189</v>
      </c>
      <c r="C1648" s="2" t="s">
        <v>59</v>
      </c>
      <c r="D1648" s="2" t="s">
        <v>18</v>
      </c>
      <c r="E1648" s="5">
        <v>-29432</v>
      </c>
      <c r="F1648" s="3" t="s">
        <v>1967</v>
      </c>
      <c r="G1648" s="3" t="s">
        <v>102</v>
      </c>
      <c r="H1648" s="2" t="s">
        <v>65</v>
      </c>
      <c r="I1648" s="2" t="s">
        <v>4192</v>
      </c>
      <c r="J1648" s="3" t="str">
        <f>HYPERLINK("https://www.boe.es/gazeta/dias/1819/06/01/pdfs/GMD-1819-65.pdf#page=3","Abrir facsímil")</f>
        <v>Abrir facsímil</v>
      </c>
      <c r="K1648" s="3" t="s">
        <v>67</v>
      </c>
    </row>
    <row r="1649" spans="1:11" ht="42" customHeight="1">
      <c r="A1649" s="2" t="s">
        <v>4189</v>
      </c>
      <c r="B1649" s="2" t="s">
        <v>4189</v>
      </c>
      <c r="C1649" s="2" t="s">
        <v>59</v>
      </c>
      <c r="D1649" s="2" t="s">
        <v>18</v>
      </c>
      <c r="E1649" s="5">
        <v>-29421</v>
      </c>
      <c r="F1649" s="3" t="s">
        <v>1972</v>
      </c>
      <c r="G1649" s="3" t="s">
        <v>102</v>
      </c>
      <c r="H1649" s="2" t="s">
        <v>65</v>
      </c>
      <c r="I1649" s="2" t="s">
        <v>4193</v>
      </c>
      <c r="J1649" s="3" t="str">
        <f>HYPERLINK("https://www.boe.es/gazeta/dias/1819/06/12/pdfs/GMD-1819-70.pdf#page=3","Abrir facsímil")</f>
        <v>Abrir facsímil</v>
      </c>
      <c r="K1649" s="3" t="s">
        <v>67</v>
      </c>
    </row>
    <row r="1650" spans="1:11" ht="42" customHeight="1">
      <c r="A1650" s="2" t="s">
        <v>4189</v>
      </c>
      <c r="B1650" s="2" t="s">
        <v>4189</v>
      </c>
      <c r="C1650" s="2" t="s">
        <v>59</v>
      </c>
      <c r="D1650" s="2" t="s">
        <v>18</v>
      </c>
      <c r="E1650" s="5">
        <v>-29386</v>
      </c>
      <c r="F1650" s="3" t="s">
        <v>568</v>
      </c>
      <c r="G1650" s="3" t="s">
        <v>102</v>
      </c>
      <c r="H1650" s="2" t="s">
        <v>65</v>
      </c>
      <c r="I1650" s="2" t="s">
        <v>4194</v>
      </c>
      <c r="J1650" s="3" t="str">
        <f>HYPERLINK("https://www.boe.es/gazeta/dias/1819/07/17/pdfs/GMD-1819-86.pdf#page=3","Abrir facsímil")</f>
        <v>Abrir facsímil</v>
      </c>
      <c r="K1650" s="3" t="s">
        <v>67</v>
      </c>
    </row>
    <row r="1651" spans="1:11" ht="42" customHeight="1">
      <c r="A1651" s="2" t="s">
        <v>4195</v>
      </c>
      <c r="B1651" s="2" t="s">
        <v>4195</v>
      </c>
      <c r="C1651" s="2" t="s">
        <v>80</v>
      </c>
      <c r="D1651" s="2" t="s">
        <v>81</v>
      </c>
      <c r="E1651" s="5">
        <v>-29437</v>
      </c>
      <c r="F1651" s="3" t="s">
        <v>1147</v>
      </c>
      <c r="G1651" s="3" t="s">
        <v>259</v>
      </c>
      <c r="H1651" s="2" t="s">
        <v>65</v>
      </c>
      <c r="I1651" s="2" t="s">
        <v>4196</v>
      </c>
      <c r="J1651" s="3" t="str">
        <f>HYPERLINK("https://www.boe.es/gazeta/dias/1819/05/27/pdfs/GMD-1819-63.pdf#page=2","Abrir facsímil")</f>
        <v>Abrir facsímil</v>
      </c>
      <c r="K1651" s="3" t="s">
        <v>67</v>
      </c>
    </row>
    <row r="1652" spans="1:11" ht="42" customHeight="1">
      <c r="A1652" s="2" t="s">
        <v>4197</v>
      </c>
      <c r="B1652" s="2" t="s">
        <v>4198</v>
      </c>
      <c r="C1652" s="2" t="s">
        <v>80</v>
      </c>
      <c r="D1652" s="2" t="s">
        <v>454</v>
      </c>
      <c r="E1652" s="5">
        <v>-29287</v>
      </c>
      <c r="F1652" s="3" t="s">
        <v>455</v>
      </c>
      <c r="G1652" s="3" t="s">
        <v>1113</v>
      </c>
      <c r="H1652" s="2" t="s">
        <v>65</v>
      </c>
      <c r="I1652" s="2" t="s">
        <v>4199</v>
      </c>
      <c r="J1652" s="3" t="str">
        <f>HYPERLINK("https://www.boe.es/gazeta/dias/1819/10/24/pdfs/GMD-1819-131E.pdf#page=7","Abrir facsímil")</f>
        <v>Abrir facsímil</v>
      </c>
      <c r="K1652" s="3" t="s">
        <v>67</v>
      </c>
    </row>
    <row r="1653" spans="1:11" ht="42" customHeight="1">
      <c r="A1653" s="2" t="s">
        <v>4200</v>
      </c>
      <c r="B1653" s="2" t="s">
        <v>4200</v>
      </c>
      <c r="C1653" s="2" t="s">
        <v>80</v>
      </c>
      <c r="D1653" s="2" t="s">
        <v>81</v>
      </c>
      <c r="E1653" s="5">
        <v>-29453</v>
      </c>
      <c r="F1653" s="3" t="s">
        <v>768</v>
      </c>
      <c r="G1653" s="3" t="s">
        <v>239</v>
      </c>
      <c r="H1653" s="2" t="s">
        <v>65</v>
      </c>
      <c r="I1653" s="2" t="s">
        <v>4201</v>
      </c>
      <c r="J1653" s="3" t="str">
        <f>HYPERLINK("https://www.boe.es/gazeta/dias/1819/05/11/pdfs/GMD-1819-56.pdf#page=1","Abrir facsímil")</f>
        <v>Abrir facsímil</v>
      </c>
      <c r="K1653" s="3" t="s">
        <v>67</v>
      </c>
    </row>
    <row r="1654" spans="1:11" ht="42" customHeight="1">
      <c r="A1654" s="2" t="s">
        <v>4202</v>
      </c>
      <c r="B1654" s="2" t="s">
        <v>4203</v>
      </c>
      <c r="C1654" s="2" t="s">
        <v>63</v>
      </c>
      <c r="D1654" s="2" t="s">
        <v>43</v>
      </c>
      <c r="E1654" s="5">
        <v>-29533</v>
      </c>
      <c r="F1654" s="3" t="s">
        <v>280</v>
      </c>
      <c r="G1654" s="3" t="s">
        <v>28</v>
      </c>
      <c r="H1654" s="2" t="s">
        <v>65</v>
      </c>
      <c r="I1654" s="2" t="s">
        <v>4204</v>
      </c>
      <c r="J1654" s="3" t="str">
        <f>HYPERLINK("https://www.boe.es/gazeta/dias/1819/02/20/pdfs/GMD-1819-22.pdf#page=8","Abrir facsímil")</f>
        <v>Abrir facsímil</v>
      </c>
      <c r="K1654" s="3" t="s">
        <v>67</v>
      </c>
    </row>
    <row r="1655" spans="1:11" ht="42" customHeight="1">
      <c r="A1655" s="2" t="s">
        <v>4205</v>
      </c>
      <c r="B1655" s="2" t="s">
        <v>4206</v>
      </c>
      <c r="C1655" s="2" t="s">
        <v>59</v>
      </c>
      <c r="D1655" s="2" t="s">
        <v>18</v>
      </c>
      <c r="E1655" s="5">
        <v>-29423</v>
      </c>
      <c r="F1655" s="3" t="s">
        <v>1205</v>
      </c>
      <c r="G1655" s="3" t="s">
        <v>102</v>
      </c>
      <c r="H1655" s="2" t="s">
        <v>65</v>
      </c>
      <c r="I1655" s="2" t="s">
        <v>4207</v>
      </c>
      <c r="J1655" s="3" t="str">
        <f>HYPERLINK("https://www.boe.es/gazeta/dias/1819/06/10/pdfs/GMD-1819-69.pdf#page=3","Abrir facsímil")</f>
        <v>Abrir facsímil</v>
      </c>
      <c r="K1655" s="3" t="s">
        <v>67</v>
      </c>
    </row>
    <row r="1656" spans="1:11" ht="42" customHeight="1">
      <c r="A1656" s="2" t="s">
        <v>4208</v>
      </c>
      <c r="B1656" s="2" t="s">
        <v>4209</v>
      </c>
      <c r="C1656" s="2" t="s">
        <v>80</v>
      </c>
      <c r="D1656" s="2" t="s">
        <v>454</v>
      </c>
      <c r="E1656" s="5">
        <v>-29324</v>
      </c>
      <c r="F1656" s="3" t="s">
        <v>914</v>
      </c>
      <c r="G1656" s="3" t="s">
        <v>102</v>
      </c>
      <c r="H1656" s="2" t="s">
        <v>65</v>
      </c>
      <c r="I1656" s="2" t="s">
        <v>4210</v>
      </c>
      <c r="J1656" s="3" t="str">
        <f>HYPERLINK("https://www.boe.es/gazeta/dias/1819/09/17/pdfs/GMD-1819-114E.pdf#page=3","Abrir facsímil")</f>
        <v>Abrir facsímil</v>
      </c>
      <c r="K1656" s="3" t="s">
        <v>67</v>
      </c>
    </row>
    <row r="1657" spans="1:11" ht="42" customHeight="1">
      <c r="A1657" s="2" t="s">
        <v>4211</v>
      </c>
      <c r="B1657" s="2" t="s">
        <v>4211</v>
      </c>
      <c r="C1657" s="2" t="s">
        <v>80</v>
      </c>
      <c r="D1657" s="2" t="s">
        <v>81</v>
      </c>
      <c r="E1657" s="5">
        <v>-29430</v>
      </c>
      <c r="F1657" s="3" t="s">
        <v>178</v>
      </c>
      <c r="G1657" s="3" t="s">
        <v>38</v>
      </c>
      <c r="H1657" s="2" t="s">
        <v>65</v>
      </c>
      <c r="I1657" s="2" t="s">
        <v>4212</v>
      </c>
      <c r="J1657" s="3" t="str">
        <f>HYPERLINK("https://www.boe.es/gazeta/dias/1819/06/03/pdfs/GMD-1819-66.pdf#page=5","Abrir facsímil")</f>
        <v>Abrir facsímil</v>
      </c>
      <c r="K1657" s="3" t="s">
        <v>67</v>
      </c>
    </row>
    <row r="1658" spans="1:11" ht="42" customHeight="1">
      <c r="A1658" s="2" t="s">
        <v>4213</v>
      </c>
      <c r="B1658" s="2" t="s">
        <v>4214</v>
      </c>
      <c r="C1658" s="2" t="s">
        <v>80</v>
      </c>
      <c r="D1658" s="2" t="s">
        <v>81</v>
      </c>
      <c r="E1658" s="5">
        <v>-29507</v>
      </c>
      <c r="F1658" s="3" t="s">
        <v>1928</v>
      </c>
      <c r="G1658" s="3" t="s">
        <v>28</v>
      </c>
      <c r="H1658" s="2" t="s">
        <v>65</v>
      </c>
      <c r="I1658" s="2" t="s">
        <v>4215</v>
      </c>
      <c r="J1658" s="3" t="str">
        <f>HYPERLINK("https://www.boe.es/gazeta/dias/1819/03/18/pdfs/GMD-1819-33.pdf#page=8","Abrir facsímil")</f>
        <v>Abrir facsímil</v>
      </c>
      <c r="K1658" s="3" t="s">
        <v>67</v>
      </c>
    </row>
    <row r="1659" spans="1:11" ht="42" customHeight="1">
      <c r="A1659" s="2" t="s">
        <v>4213</v>
      </c>
      <c r="B1659" s="2" t="s">
        <v>4214</v>
      </c>
      <c r="C1659" s="2" t="s">
        <v>80</v>
      </c>
      <c r="D1659" s="2" t="s">
        <v>81</v>
      </c>
      <c r="E1659" s="5">
        <v>-29253</v>
      </c>
      <c r="F1659" s="3" t="s">
        <v>242</v>
      </c>
      <c r="G1659" s="3" t="s">
        <v>2986</v>
      </c>
      <c r="H1659" s="2" t="s">
        <v>65</v>
      </c>
      <c r="I1659" s="2" t="s">
        <v>4216</v>
      </c>
      <c r="J1659" s="3" t="str">
        <f>HYPERLINK("https://www.boe.es/gazeta/dias/1819/11/27/pdfs/GMD-1819-146.pdf#page=8","Abrir facsímil")</f>
        <v>Abrir facsímil</v>
      </c>
      <c r="K1659" s="3" t="s">
        <v>67</v>
      </c>
    </row>
    <row r="1660" spans="1:11" ht="42" customHeight="1">
      <c r="A1660" s="2" t="s">
        <v>4217</v>
      </c>
      <c r="B1660" s="2" t="s">
        <v>4218</v>
      </c>
      <c r="C1660" s="2" t="s">
        <v>59</v>
      </c>
      <c r="D1660" s="2" t="s">
        <v>454</v>
      </c>
      <c r="E1660" s="5">
        <v>-29287</v>
      </c>
      <c r="F1660" s="3" t="s">
        <v>455</v>
      </c>
      <c r="G1660" s="3" t="s">
        <v>1113</v>
      </c>
      <c r="H1660" s="2" t="s">
        <v>65</v>
      </c>
      <c r="I1660" s="2" t="s">
        <v>4219</v>
      </c>
      <c r="J1660" s="3" t="str">
        <f>HYPERLINK("https://www.boe.es/gazeta/dias/1819/10/24/pdfs/GMD-1819-131E.pdf#page=7","Abrir facsímil")</f>
        <v>Abrir facsímil</v>
      </c>
      <c r="K1660" s="3" t="s">
        <v>67</v>
      </c>
    </row>
    <row r="1661" spans="1:11" ht="42" customHeight="1">
      <c r="A1661" s="2" t="s">
        <v>4220</v>
      </c>
      <c r="B1661" s="2" t="s">
        <v>4221</v>
      </c>
      <c r="C1661" s="2" t="s">
        <v>63</v>
      </c>
      <c r="D1661" s="2" t="s">
        <v>43</v>
      </c>
      <c r="E1661" s="5">
        <v>-29528</v>
      </c>
      <c r="F1661" s="3" t="s">
        <v>708</v>
      </c>
      <c r="G1661" s="3" t="s">
        <v>38</v>
      </c>
      <c r="H1661" s="2" t="s">
        <v>21</v>
      </c>
      <c r="I1661" s="2" t="s">
        <v>4222</v>
      </c>
      <c r="J1661" s="3" t="str">
        <f>HYPERLINK("https://www.boe.es/gazeta/dias/1819/02/25/pdfs/GMD-1819-24.pdf#page=5","Abrir facsímil")</f>
        <v>Abrir facsímil</v>
      </c>
      <c r="K1661" s="3" t="s">
        <v>23</v>
      </c>
    </row>
    <row r="1662" spans="1:11" ht="42" customHeight="1">
      <c r="A1662" s="2" t="s">
        <v>4223</v>
      </c>
      <c r="B1662" s="2" t="s">
        <v>4224</v>
      </c>
      <c r="C1662" s="2" t="s">
        <v>136</v>
      </c>
      <c r="D1662" s="2" t="s">
        <v>18</v>
      </c>
      <c r="E1662" s="5">
        <v>-29477</v>
      </c>
      <c r="F1662" s="3" t="s">
        <v>789</v>
      </c>
      <c r="G1662" s="3" t="s">
        <v>38</v>
      </c>
      <c r="H1662" s="2" t="s">
        <v>65</v>
      </c>
      <c r="I1662" s="2" t="s">
        <v>4225</v>
      </c>
      <c r="J1662" s="3" t="str">
        <f>HYPERLINK("https://www.boe.es/gazeta/dias/1819/04/17/pdfs/GMD-1819-46.pdf#page=5","Abrir facsímil")</f>
        <v>Abrir facsímil</v>
      </c>
      <c r="K1662" s="3" t="s">
        <v>67</v>
      </c>
    </row>
    <row r="1663" spans="1:11" ht="42" customHeight="1">
      <c r="A1663" s="2" t="s">
        <v>4226</v>
      </c>
      <c r="B1663" s="2" t="s">
        <v>4227</v>
      </c>
      <c r="C1663" s="2" t="s">
        <v>80</v>
      </c>
      <c r="D1663" s="2" t="s">
        <v>81</v>
      </c>
      <c r="E1663" s="5">
        <v>-29316</v>
      </c>
      <c r="F1663" s="3" t="s">
        <v>166</v>
      </c>
      <c r="G1663" s="3" t="s">
        <v>20</v>
      </c>
      <c r="H1663" s="2" t="s">
        <v>65</v>
      </c>
      <c r="I1663" s="2" t="s">
        <v>4228</v>
      </c>
      <c r="J1663" s="3" t="str">
        <f>HYPERLINK("https://www.boe.es/gazeta/dias/1819/09/25/pdfs/GMD-1819-118.pdf#page=10","Abrir facsímil")</f>
        <v>Abrir facsímil</v>
      </c>
      <c r="K1663" s="3" t="s">
        <v>67</v>
      </c>
    </row>
    <row r="1664" spans="1:11" ht="42" customHeight="1">
      <c r="A1664" s="2" t="s">
        <v>4229</v>
      </c>
      <c r="B1664" s="2" t="s">
        <v>4230</v>
      </c>
      <c r="C1664" s="2" t="s">
        <v>59</v>
      </c>
      <c r="D1664" s="2" t="s">
        <v>18</v>
      </c>
      <c r="E1664" s="5">
        <v>-29575</v>
      </c>
      <c r="F1664" s="3" t="s">
        <v>77</v>
      </c>
      <c r="G1664" s="3" t="s">
        <v>55</v>
      </c>
      <c r="H1664" s="2" t="s">
        <v>21</v>
      </c>
      <c r="I1664" s="2" t="s">
        <v>4231</v>
      </c>
      <c r="J1664" s="3" t="str">
        <f>HYPERLINK("https://www.boe.es/gazeta/dias/1819/01/09/pdfs/GMD-1819-4.pdf#page=7","Abrir facsímil")</f>
        <v>Abrir facsímil</v>
      </c>
      <c r="K1664" s="3" t="s">
        <v>23</v>
      </c>
    </row>
    <row r="1665" spans="1:11" ht="42" customHeight="1">
      <c r="A1665" s="2" t="s">
        <v>4232</v>
      </c>
      <c r="B1665" s="2" t="s">
        <v>4233</v>
      </c>
      <c r="C1665" s="2" t="s">
        <v>26</v>
      </c>
      <c r="D1665" s="2" t="s">
        <v>18</v>
      </c>
      <c r="E1665" s="5">
        <v>-29512</v>
      </c>
      <c r="F1665" s="3" t="s">
        <v>741</v>
      </c>
      <c r="G1665" s="3" t="s">
        <v>28</v>
      </c>
      <c r="H1665" s="2" t="s">
        <v>65</v>
      </c>
      <c r="I1665" s="2" t="s">
        <v>4234</v>
      </c>
      <c r="J1665" s="3" t="str">
        <f>HYPERLINK("https://www.boe.es/gazeta/dias/1819/03/13/pdfs/GMD-1819-31.pdf#page=8","Abrir facsímil")</f>
        <v>Abrir facsímil</v>
      </c>
      <c r="K1665" s="3" t="s">
        <v>67</v>
      </c>
    </row>
    <row r="1666" spans="1:11" ht="42" customHeight="1">
      <c r="A1666" s="2" t="s">
        <v>4235</v>
      </c>
      <c r="B1666" s="2" t="s">
        <v>4236</v>
      </c>
      <c r="C1666" s="2" t="s">
        <v>17</v>
      </c>
      <c r="D1666" s="2" t="s">
        <v>18</v>
      </c>
      <c r="E1666" s="5">
        <v>-29316</v>
      </c>
      <c r="F1666" s="3" t="s">
        <v>166</v>
      </c>
      <c r="G1666" s="3" t="s">
        <v>296</v>
      </c>
      <c r="H1666" s="2" t="s">
        <v>65</v>
      </c>
      <c r="I1666" s="2" t="s">
        <v>4237</v>
      </c>
      <c r="J1666" s="3" t="str">
        <f>HYPERLINK("https://www.boe.es/gazeta/dias/1819/09/25/pdfs/GMD-1819-118.pdf#page=4","Abrir facsímil")</f>
        <v>Abrir facsímil</v>
      </c>
      <c r="K1666" s="3" t="s">
        <v>67</v>
      </c>
    </row>
    <row r="1667" spans="1:11" ht="42" customHeight="1">
      <c r="A1667" s="2" t="s">
        <v>4238</v>
      </c>
      <c r="B1667" s="2" t="s">
        <v>4239</v>
      </c>
      <c r="C1667" s="2" t="s">
        <v>26</v>
      </c>
      <c r="D1667" s="2" t="s">
        <v>18</v>
      </c>
      <c r="E1667" s="5">
        <v>-29374</v>
      </c>
      <c r="F1667" s="3" t="s">
        <v>204</v>
      </c>
      <c r="G1667" s="3" t="s">
        <v>28</v>
      </c>
      <c r="H1667" s="2" t="s">
        <v>65</v>
      </c>
      <c r="I1667" s="2" t="s">
        <v>4240</v>
      </c>
      <c r="J1667" s="3" t="str">
        <f>HYPERLINK("https://www.boe.es/gazeta/dias/1819/07/29/pdfs/GMD-1819-91.pdf#page=8","Abrir facsímil")</f>
        <v>Abrir facsímil</v>
      </c>
      <c r="K1667" s="3" t="s">
        <v>67</v>
      </c>
    </row>
    <row r="1668" spans="1:11" ht="42" customHeight="1">
      <c r="A1668" s="2" t="s">
        <v>4241</v>
      </c>
      <c r="B1668" s="2" t="s">
        <v>4242</v>
      </c>
      <c r="C1668" s="2" t="s">
        <v>59</v>
      </c>
      <c r="D1668" s="2" t="s">
        <v>18</v>
      </c>
      <c r="E1668" s="5">
        <v>-29267</v>
      </c>
      <c r="F1668" s="3" t="s">
        <v>370</v>
      </c>
      <c r="G1668" s="3" t="s">
        <v>55</v>
      </c>
      <c r="H1668" s="2" t="s">
        <v>65</v>
      </c>
      <c r="I1668" s="2" t="s">
        <v>4243</v>
      </c>
      <c r="J1668" s="3" t="str">
        <f>HYPERLINK("https://www.boe.es/gazeta/dias/1819/11/13/pdfs/GMD-1819-140.pdf#page=7","Abrir facsímil")</f>
        <v>Abrir facsímil</v>
      </c>
      <c r="K1668" s="3" t="s">
        <v>67</v>
      </c>
    </row>
    <row r="1669" spans="1:11" ht="42" customHeight="1">
      <c r="A1669" s="2" t="s">
        <v>4244</v>
      </c>
      <c r="B1669" s="2" t="s">
        <v>4245</v>
      </c>
      <c r="C1669" s="2" t="s">
        <v>59</v>
      </c>
      <c r="D1669" s="2" t="s">
        <v>18</v>
      </c>
      <c r="E1669" s="5">
        <v>-29269</v>
      </c>
      <c r="F1669" s="3" t="s">
        <v>565</v>
      </c>
      <c r="G1669" s="3" t="s">
        <v>38</v>
      </c>
      <c r="H1669" s="2" t="s">
        <v>65</v>
      </c>
      <c r="I1669" s="2" t="s">
        <v>4246</v>
      </c>
      <c r="J1669" s="3" t="str">
        <f>HYPERLINK("https://www.boe.es/gazeta/dias/1819/11/11/pdfs/GMD-1819-139.pdf#page=5","Abrir facsímil")</f>
        <v>Abrir facsímil</v>
      </c>
      <c r="K1669" s="3" t="s">
        <v>67</v>
      </c>
    </row>
    <row r="1670" spans="1:11" ht="42" customHeight="1">
      <c r="A1670" s="2" t="s">
        <v>4247</v>
      </c>
      <c r="B1670" s="2" t="s">
        <v>4248</v>
      </c>
      <c r="C1670" s="2" t="s">
        <v>80</v>
      </c>
      <c r="D1670" s="2" t="s">
        <v>81</v>
      </c>
      <c r="E1670" s="5">
        <v>-29304</v>
      </c>
      <c r="F1670" s="3" t="s">
        <v>519</v>
      </c>
      <c r="G1670" s="3" t="s">
        <v>552</v>
      </c>
      <c r="H1670" s="2" t="s">
        <v>65</v>
      </c>
      <c r="I1670" s="2" t="s">
        <v>4249</v>
      </c>
      <c r="J1670" s="3" t="str">
        <f>HYPERLINK("https://www.boe.es/gazeta/dias/1819/10/07/pdfs/GMD-1819-123.pdf#page=6","Abrir facsímil")</f>
        <v>Abrir facsímil</v>
      </c>
      <c r="K1670" s="3" t="s">
        <v>67</v>
      </c>
    </row>
    <row r="1671" spans="1:11" ht="42" customHeight="1">
      <c r="A1671" s="2" t="s">
        <v>4250</v>
      </c>
      <c r="B1671" s="2" t="s">
        <v>4251</v>
      </c>
      <c r="C1671" s="2" t="s">
        <v>215</v>
      </c>
      <c r="D1671" s="2" t="s">
        <v>18</v>
      </c>
      <c r="E1671" s="5">
        <v>-29558</v>
      </c>
      <c r="F1671" s="3" t="s">
        <v>1463</v>
      </c>
      <c r="G1671" s="3" t="s">
        <v>33</v>
      </c>
      <c r="H1671" s="2" t="s">
        <v>65</v>
      </c>
      <c r="I1671" s="2" t="s">
        <v>4252</v>
      </c>
      <c r="J1671" s="3" t="str">
        <f>HYPERLINK("https://www.boe.es/gazeta/dias/1819/01/26/pdfs/GMD-1819-11.pdf#page=6","Abrir facsímil")</f>
        <v>Abrir facsímil</v>
      </c>
      <c r="K1671" s="3" t="s">
        <v>67</v>
      </c>
    </row>
    <row r="1672" spans="1:11" ht="42" customHeight="1">
      <c r="A1672" s="2" t="s">
        <v>4250</v>
      </c>
      <c r="B1672" s="2" t="s">
        <v>4251</v>
      </c>
      <c r="C1672" s="2" t="s">
        <v>59</v>
      </c>
      <c r="D1672" s="2" t="s">
        <v>18</v>
      </c>
      <c r="E1672" s="5">
        <v>-29558</v>
      </c>
      <c r="F1672" s="3" t="s">
        <v>1463</v>
      </c>
      <c r="G1672" s="3" t="s">
        <v>55</v>
      </c>
      <c r="H1672" s="2" t="s">
        <v>65</v>
      </c>
      <c r="I1672" s="2" t="s">
        <v>4253</v>
      </c>
      <c r="J1672" s="3" t="str">
        <f>HYPERLINK("https://www.boe.es/gazeta/dias/1819/01/26/pdfs/GMD-1819-11.pdf#page=7","Abrir facsímil")</f>
        <v>Abrir facsímil</v>
      </c>
      <c r="K1672" s="3" t="s">
        <v>67</v>
      </c>
    </row>
    <row r="1673" spans="1:11" ht="42" customHeight="1">
      <c r="A1673" s="2" t="s">
        <v>4254</v>
      </c>
      <c r="B1673" s="2" t="s">
        <v>4255</v>
      </c>
      <c r="C1673" s="2" t="s">
        <v>80</v>
      </c>
      <c r="D1673" s="2" t="s">
        <v>81</v>
      </c>
      <c r="E1673" s="5">
        <v>-29495</v>
      </c>
      <c r="F1673" s="3" t="s">
        <v>992</v>
      </c>
      <c r="G1673" s="3" t="s">
        <v>94</v>
      </c>
      <c r="H1673" s="2" t="s">
        <v>65</v>
      </c>
      <c r="I1673" s="2" t="s">
        <v>4256</v>
      </c>
      <c r="J1673" s="3" t="str">
        <f>HYPERLINK("https://www.boe.es/gazeta/dias/1819/03/30/pdfs/GMD-1819-38.pdf#page=11","Abrir facsímil")</f>
        <v>Abrir facsímil</v>
      </c>
      <c r="K1673" s="3" t="s">
        <v>67</v>
      </c>
    </row>
    <row r="1674" spans="1:11" ht="42" customHeight="1">
      <c r="A1674" s="2" t="s">
        <v>4257</v>
      </c>
      <c r="B1674" s="2" t="s">
        <v>4258</v>
      </c>
      <c r="C1674" s="2" t="s">
        <v>59</v>
      </c>
      <c r="D1674" s="2" t="s">
        <v>18</v>
      </c>
      <c r="E1674" s="5">
        <v>-29493</v>
      </c>
      <c r="F1674" s="3" t="s">
        <v>404</v>
      </c>
      <c r="G1674" s="3" t="s">
        <v>55</v>
      </c>
      <c r="H1674" s="2" t="s">
        <v>65</v>
      </c>
      <c r="I1674" s="2" t="s">
        <v>4259</v>
      </c>
      <c r="J1674" s="3" t="str">
        <f>HYPERLINK("https://www.boe.es/gazeta/dias/1819/04/01/pdfs/GMD-1819-39.pdf#page=7","Abrir facsímil")</f>
        <v>Abrir facsímil</v>
      </c>
      <c r="K1674" s="3" t="s">
        <v>67</v>
      </c>
    </row>
    <row r="1675" spans="1:11" ht="42" customHeight="1">
      <c r="A1675" s="2" t="s">
        <v>4260</v>
      </c>
      <c r="B1675" s="2" t="s">
        <v>4261</v>
      </c>
      <c r="C1675" s="2" t="s">
        <v>215</v>
      </c>
      <c r="D1675" s="2" t="s">
        <v>18</v>
      </c>
      <c r="E1675" s="5">
        <v>-29575</v>
      </c>
      <c r="F1675" s="3" t="s">
        <v>77</v>
      </c>
      <c r="G1675" s="3" t="s">
        <v>55</v>
      </c>
      <c r="H1675" s="2" t="s">
        <v>65</v>
      </c>
      <c r="I1675" s="2" t="s">
        <v>4262</v>
      </c>
      <c r="J1675" s="3" t="str">
        <f>HYPERLINK("https://www.boe.es/gazeta/dias/1819/01/09/pdfs/GMD-1819-4.pdf#page=7","Abrir facsímil")</f>
        <v>Abrir facsímil</v>
      </c>
      <c r="K1675" s="3" t="s">
        <v>67</v>
      </c>
    </row>
    <row r="1676" spans="1:11" ht="42" customHeight="1">
      <c r="A1676" s="2" t="s">
        <v>4263</v>
      </c>
      <c r="B1676" s="2" t="s">
        <v>4264</v>
      </c>
      <c r="C1676" s="2" t="s">
        <v>59</v>
      </c>
      <c r="D1676" s="2" t="s">
        <v>18</v>
      </c>
      <c r="E1676" s="5">
        <v>-29425</v>
      </c>
      <c r="F1676" s="3" t="s">
        <v>110</v>
      </c>
      <c r="G1676" s="3" t="s">
        <v>55</v>
      </c>
      <c r="H1676" s="2" t="s">
        <v>65</v>
      </c>
      <c r="I1676" s="2" t="s">
        <v>4265</v>
      </c>
      <c r="J1676" s="3" t="str">
        <f>HYPERLINK("https://www.boe.es/gazeta/dias/1819/06/08/pdfs/GMD-1819-68.pdf#page=7","Abrir facsímil")</f>
        <v>Abrir facsímil</v>
      </c>
      <c r="K1676" s="3" t="s">
        <v>67</v>
      </c>
    </row>
    <row r="1677" spans="1:11" ht="42" customHeight="1">
      <c r="A1677" s="2" t="s">
        <v>4266</v>
      </c>
      <c r="B1677" s="2" t="s">
        <v>4267</v>
      </c>
      <c r="C1677" s="2" t="s">
        <v>59</v>
      </c>
      <c r="D1677" s="2" t="s">
        <v>18</v>
      </c>
      <c r="E1677" s="5">
        <v>-29442</v>
      </c>
      <c r="F1677" s="3" t="s">
        <v>427</v>
      </c>
      <c r="G1677" s="3" t="s">
        <v>55</v>
      </c>
      <c r="H1677" s="2" t="s">
        <v>65</v>
      </c>
      <c r="I1677" s="2" t="s">
        <v>4268</v>
      </c>
      <c r="J1677" s="3" t="str">
        <f>HYPERLINK("https://www.boe.es/gazeta/dias/1819/05/22/pdfs/GMD-1819-61.pdf#page=7","Abrir facsímil")</f>
        <v>Abrir facsímil</v>
      </c>
      <c r="K1677" s="3" t="s">
        <v>67</v>
      </c>
    </row>
    <row r="1678" spans="1:11" ht="42" customHeight="1">
      <c r="A1678" s="2" t="s">
        <v>4269</v>
      </c>
      <c r="B1678" s="2" t="s">
        <v>4270</v>
      </c>
      <c r="C1678" s="2" t="s">
        <v>136</v>
      </c>
      <c r="D1678" s="2" t="s">
        <v>18</v>
      </c>
      <c r="E1678" s="5">
        <v>-29229</v>
      </c>
      <c r="F1678" s="3" t="s">
        <v>44</v>
      </c>
      <c r="G1678" s="3" t="s">
        <v>28</v>
      </c>
      <c r="H1678" s="2" t="s">
        <v>65</v>
      </c>
      <c r="I1678" s="2" t="s">
        <v>4271</v>
      </c>
      <c r="J1678" s="3" t="str">
        <f>HYPERLINK("https://www.boe.es/gazeta/dias/1819/12/21/pdfs/GMD-1819-156.pdf#page=8","Abrir facsímil")</f>
        <v>Abrir facsímil</v>
      </c>
      <c r="K1678" s="3" t="s">
        <v>67</v>
      </c>
    </row>
    <row r="1679" spans="1:11" ht="42" customHeight="1">
      <c r="A1679" s="2" t="s">
        <v>4272</v>
      </c>
      <c r="B1679" s="2" t="s">
        <v>4273</v>
      </c>
      <c r="C1679" s="2" t="s">
        <v>63</v>
      </c>
      <c r="D1679" s="2" t="s">
        <v>43</v>
      </c>
      <c r="E1679" s="5">
        <v>-29458</v>
      </c>
      <c r="F1679" s="3" t="s">
        <v>766</v>
      </c>
      <c r="G1679" s="3" t="s">
        <v>33</v>
      </c>
      <c r="H1679" s="2" t="s">
        <v>65</v>
      </c>
      <c r="I1679" s="2" t="s">
        <v>4274</v>
      </c>
      <c r="J1679" s="3" t="str">
        <f>HYPERLINK("https://www.boe.es/gazeta/dias/1819/05/06/pdfs/GMD-1819-54.pdf#page=6","Abrir facsímil")</f>
        <v>Abrir facsímil</v>
      </c>
      <c r="K1679" s="3" t="s">
        <v>67</v>
      </c>
    </row>
    <row r="1680" spans="1:11" ht="42" customHeight="1">
      <c r="A1680" s="2" t="s">
        <v>4275</v>
      </c>
      <c r="B1680" s="2" t="s">
        <v>4276</v>
      </c>
      <c r="C1680" s="2" t="s">
        <v>59</v>
      </c>
      <c r="D1680" s="2" t="s">
        <v>18</v>
      </c>
      <c r="E1680" s="5">
        <v>-29292</v>
      </c>
      <c r="F1680" s="3" t="s">
        <v>875</v>
      </c>
      <c r="G1680" s="3" t="s">
        <v>28</v>
      </c>
      <c r="H1680" s="2" t="s">
        <v>65</v>
      </c>
      <c r="I1680" s="2" t="s">
        <v>4277</v>
      </c>
      <c r="J1680" s="3" t="str">
        <f>HYPERLINK("https://www.boe.es/gazeta/dias/1819/10/19/pdfs/GMD-1819-128.pdf#page=8","Abrir facsímil")</f>
        <v>Abrir facsímil</v>
      </c>
      <c r="K1680" s="3" t="s">
        <v>67</v>
      </c>
    </row>
    <row r="1681" spans="1:11" ht="42" customHeight="1">
      <c r="A1681" s="2" t="s">
        <v>4278</v>
      </c>
      <c r="B1681" s="2" t="s">
        <v>4279</v>
      </c>
      <c r="C1681" s="2" t="s">
        <v>80</v>
      </c>
      <c r="D1681" s="2" t="s">
        <v>81</v>
      </c>
      <c r="E1681" s="5">
        <v>-29470</v>
      </c>
      <c r="F1681" s="3" t="s">
        <v>1188</v>
      </c>
      <c r="G1681" s="3" t="s">
        <v>33</v>
      </c>
      <c r="H1681" s="2" t="s">
        <v>65</v>
      </c>
      <c r="I1681" s="2" t="s">
        <v>4280</v>
      </c>
      <c r="J1681" s="3" t="str">
        <f>HYPERLINK("https://www.boe.es/gazeta/dias/1819/04/24/pdfs/GMD-1819-49.pdf#page=6","Abrir facsímil")</f>
        <v>Abrir facsímil</v>
      </c>
      <c r="K1681" s="3" t="s">
        <v>67</v>
      </c>
    </row>
    <row r="1682" spans="1:11" ht="42" customHeight="1">
      <c r="A1682" s="2" t="s">
        <v>4281</v>
      </c>
      <c r="B1682" s="2" t="s">
        <v>4281</v>
      </c>
      <c r="C1682" s="2" t="s">
        <v>80</v>
      </c>
      <c r="D1682" s="2" t="s">
        <v>81</v>
      </c>
      <c r="E1682" s="5">
        <v>-29428</v>
      </c>
      <c r="F1682" s="3" t="s">
        <v>730</v>
      </c>
      <c r="G1682" s="3" t="s">
        <v>259</v>
      </c>
      <c r="H1682" s="2" t="s">
        <v>65</v>
      </c>
      <c r="I1682" s="2" t="s">
        <v>4282</v>
      </c>
      <c r="J1682" s="3" t="str">
        <f>HYPERLINK("https://www.boe.es/gazeta/dias/1819/06/05/pdfs/GMD-1819-67.pdf#page=2","Abrir facsímil")</f>
        <v>Abrir facsímil</v>
      </c>
      <c r="K1682" s="3" t="s">
        <v>67</v>
      </c>
    </row>
    <row r="1683" spans="1:11" ht="42" customHeight="1">
      <c r="A1683" s="2" t="s">
        <v>4283</v>
      </c>
      <c r="B1683" s="2" t="s">
        <v>4284</v>
      </c>
      <c r="C1683" s="2" t="s">
        <v>80</v>
      </c>
      <c r="D1683" s="2" t="s">
        <v>81</v>
      </c>
      <c r="E1683" s="5">
        <v>-29260</v>
      </c>
      <c r="F1683" s="3" t="s">
        <v>93</v>
      </c>
      <c r="G1683" s="3" t="s">
        <v>1275</v>
      </c>
      <c r="H1683" s="2" t="s">
        <v>65</v>
      </c>
      <c r="I1683" s="2" t="s">
        <v>4285</v>
      </c>
      <c r="J1683" s="3" t="str">
        <f>HYPERLINK("https://www.boe.es/gazeta/dias/1819/11/20/pdfs/GMD-1819-143.pdf#page=10","Abrir facsímil")</f>
        <v>Abrir facsímil</v>
      </c>
      <c r="K1683" s="3" t="s">
        <v>67</v>
      </c>
    </row>
    <row r="1684" spans="1:11" ht="42" customHeight="1">
      <c r="A1684" s="2" t="s">
        <v>4286</v>
      </c>
      <c r="B1684" s="2" t="s">
        <v>4287</v>
      </c>
      <c r="C1684" s="2" t="s">
        <v>59</v>
      </c>
      <c r="D1684" s="2" t="s">
        <v>18</v>
      </c>
      <c r="E1684" s="5">
        <v>-29355</v>
      </c>
      <c r="F1684" s="3" t="s">
        <v>347</v>
      </c>
      <c r="G1684" s="3" t="s">
        <v>38</v>
      </c>
      <c r="H1684" s="2" t="s">
        <v>65</v>
      </c>
      <c r="I1684" s="2" t="s">
        <v>4288</v>
      </c>
      <c r="J1684" s="3" t="str">
        <f>HYPERLINK("https://www.boe.es/gazeta/dias/1819/08/17/pdfs/GMD-1819-99.pdf#page=5","Abrir facsímil")</f>
        <v>Abrir facsímil</v>
      </c>
      <c r="K1684" s="3" t="s">
        <v>67</v>
      </c>
    </row>
    <row r="1685" spans="1:11" ht="42" customHeight="1">
      <c r="A1685" s="2" t="s">
        <v>4289</v>
      </c>
      <c r="B1685" s="2" t="s">
        <v>4290</v>
      </c>
      <c r="C1685" s="2" t="s">
        <v>80</v>
      </c>
      <c r="D1685" s="2" t="s">
        <v>81</v>
      </c>
      <c r="E1685" s="5">
        <v>-29297</v>
      </c>
      <c r="F1685" s="3" t="s">
        <v>82</v>
      </c>
      <c r="G1685" s="3" t="s">
        <v>33</v>
      </c>
      <c r="H1685" s="2" t="s">
        <v>65</v>
      </c>
      <c r="I1685" s="2" t="s">
        <v>4291</v>
      </c>
      <c r="J1685" s="3" t="str">
        <f>HYPERLINK("https://www.boe.es/gazeta/dias/1819/10/14/pdfs/GMD-1819-126.pdf#page=6","Abrir facsímil")</f>
        <v>Abrir facsímil</v>
      </c>
      <c r="K1685" s="3" t="s">
        <v>67</v>
      </c>
    </row>
    <row r="1686" spans="1:11" ht="42" customHeight="1">
      <c r="A1686" s="2" t="s">
        <v>4292</v>
      </c>
      <c r="B1686" s="2" t="s">
        <v>4293</v>
      </c>
      <c r="C1686" s="2" t="s">
        <v>59</v>
      </c>
      <c r="D1686" s="2" t="s">
        <v>18</v>
      </c>
      <c r="E1686" s="5">
        <v>-29281</v>
      </c>
      <c r="F1686" s="3" t="s">
        <v>19</v>
      </c>
      <c r="G1686" s="3" t="s">
        <v>456</v>
      </c>
      <c r="H1686" s="2" t="s">
        <v>65</v>
      </c>
      <c r="I1686" s="2" t="s">
        <v>4294</v>
      </c>
      <c r="J1686" s="3" t="str">
        <f>HYPERLINK("https://www.boe.es/gazeta/dias/1819/10/30/pdfs/GMD-1819-134.pdf#page=9","Abrir facsímil")</f>
        <v>Abrir facsímil</v>
      </c>
      <c r="K1686" s="3" t="s">
        <v>67</v>
      </c>
    </row>
    <row r="1687" spans="1:11" ht="42" customHeight="1">
      <c r="A1687" s="2" t="s">
        <v>4295</v>
      </c>
      <c r="B1687" s="2" t="s">
        <v>4296</v>
      </c>
      <c r="C1687" s="2" t="s">
        <v>63</v>
      </c>
      <c r="D1687" s="2" t="s">
        <v>43</v>
      </c>
      <c r="E1687" s="5">
        <v>-29227</v>
      </c>
      <c r="F1687" s="3" t="s">
        <v>98</v>
      </c>
      <c r="G1687" s="3" t="s">
        <v>33</v>
      </c>
      <c r="H1687" s="2" t="s">
        <v>65</v>
      </c>
      <c r="I1687" s="2" t="s">
        <v>4297</v>
      </c>
      <c r="J1687" s="3" t="str">
        <f>HYPERLINK("https://www.boe.es/gazeta/dias/1819/12/23/pdfs/GMD-1819-157.pdf#page=6","Abrir facsímil")</f>
        <v>Abrir facsímil</v>
      </c>
      <c r="K1687" s="3" t="s">
        <v>67</v>
      </c>
    </row>
    <row r="1688" spans="1:11" ht="42" customHeight="1">
      <c r="A1688" s="2" t="s">
        <v>4298</v>
      </c>
      <c r="B1688" s="2" t="s">
        <v>4299</v>
      </c>
      <c r="C1688" s="2" t="s">
        <v>215</v>
      </c>
      <c r="D1688" s="2" t="s">
        <v>18</v>
      </c>
      <c r="E1688" s="5">
        <v>-29521</v>
      </c>
      <c r="F1688" s="3" t="s">
        <v>1002</v>
      </c>
      <c r="G1688" s="3" t="s">
        <v>33</v>
      </c>
      <c r="H1688" s="2" t="s">
        <v>65</v>
      </c>
      <c r="I1688" s="2" t="s">
        <v>4300</v>
      </c>
      <c r="J1688" s="3" t="str">
        <f>HYPERLINK("https://www.boe.es/gazeta/dias/1819/03/04/pdfs/GMD-1819-27.pdf#page=6","Abrir facsímil")</f>
        <v>Abrir facsímil</v>
      </c>
      <c r="K1688" s="3" t="s">
        <v>67</v>
      </c>
    </row>
    <row r="1689" spans="1:11" ht="42" customHeight="1">
      <c r="A1689" s="2" t="s">
        <v>4301</v>
      </c>
      <c r="B1689" s="2" t="s">
        <v>4302</v>
      </c>
      <c r="C1689" s="2" t="s">
        <v>80</v>
      </c>
      <c r="D1689" s="2" t="s">
        <v>81</v>
      </c>
      <c r="E1689" s="5">
        <v>-29505</v>
      </c>
      <c r="F1689" s="3" t="s">
        <v>597</v>
      </c>
      <c r="G1689" s="3" t="s">
        <v>28</v>
      </c>
      <c r="H1689" s="2" t="s">
        <v>65</v>
      </c>
      <c r="I1689" s="2" t="s">
        <v>4303</v>
      </c>
      <c r="J1689" s="3" t="str">
        <f>HYPERLINK("https://www.boe.es/gazeta/dias/1819/03/20/pdfs/GMD-1819-34.pdf#page=8","Abrir facsímil")</f>
        <v>Abrir facsímil</v>
      </c>
      <c r="K1689" s="3" t="s">
        <v>67</v>
      </c>
    </row>
    <row r="1690" spans="1:11" ht="42" customHeight="1">
      <c r="A1690" s="2" t="s">
        <v>4304</v>
      </c>
      <c r="B1690" s="2" t="s">
        <v>4305</v>
      </c>
      <c r="C1690" s="2" t="s">
        <v>80</v>
      </c>
      <c r="D1690" s="2" t="s">
        <v>81</v>
      </c>
      <c r="E1690" s="5">
        <v>-29241</v>
      </c>
      <c r="F1690" s="3" t="s">
        <v>1382</v>
      </c>
      <c r="G1690" s="3" t="s">
        <v>55</v>
      </c>
      <c r="H1690" s="2" t="s">
        <v>65</v>
      </c>
      <c r="I1690" s="2" t="s">
        <v>4306</v>
      </c>
      <c r="J1690" s="3" t="str">
        <f>HYPERLINK("https://www.boe.es/gazeta/dias/1819/12/09/pdfs/GMD-1819-151.pdf#page=7","Abrir facsímil")</f>
        <v>Abrir facsímil</v>
      </c>
      <c r="K1690" s="3" t="s">
        <v>67</v>
      </c>
    </row>
    <row r="1691" spans="1:11" ht="42" customHeight="1">
      <c r="A1691" s="2" t="s">
        <v>4307</v>
      </c>
      <c r="B1691" s="2" t="s">
        <v>4308</v>
      </c>
      <c r="C1691" s="2" t="s">
        <v>215</v>
      </c>
      <c r="D1691" s="2" t="s">
        <v>18</v>
      </c>
      <c r="E1691" s="5">
        <v>-29516</v>
      </c>
      <c r="F1691" s="3" t="s">
        <v>137</v>
      </c>
      <c r="G1691" s="3" t="s">
        <v>94</v>
      </c>
      <c r="H1691" s="2" t="s">
        <v>65</v>
      </c>
      <c r="I1691" s="2" t="s">
        <v>4309</v>
      </c>
      <c r="J1691" s="3" t="str">
        <f>HYPERLINK("https://www.boe.es/gazeta/dias/1819/03/09/pdfs/GMD-1819-29.pdf#page=11","Abrir facsímil")</f>
        <v>Abrir facsímil</v>
      </c>
      <c r="K1691" s="3" t="s">
        <v>67</v>
      </c>
    </row>
    <row r="1692" spans="1:11" ht="42" customHeight="1">
      <c r="A1692" s="2" t="s">
        <v>4310</v>
      </c>
      <c r="B1692" s="2" t="s">
        <v>4311</v>
      </c>
      <c r="C1692" s="2" t="s">
        <v>215</v>
      </c>
      <c r="D1692" s="2" t="s">
        <v>18</v>
      </c>
      <c r="E1692" s="5">
        <v>-29516</v>
      </c>
      <c r="F1692" s="3" t="s">
        <v>137</v>
      </c>
      <c r="G1692" s="3" t="s">
        <v>94</v>
      </c>
      <c r="H1692" s="2" t="s">
        <v>65</v>
      </c>
      <c r="I1692" s="2" t="s">
        <v>4312</v>
      </c>
      <c r="J1692" s="3" t="str">
        <f>HYPERLINK("https://www.boe.es/gazeta/dias/1819/03/09/pdfs/GMD-1819-29.pdf#page=11","Abrir facsímil")</f>
        <v>Abrir facsímil</v>
      </c>
      <c r="K1692" s="3" t="s">
        <v>67</v>
      </c>
    </row>
    <row r="1693" spans="1:11" ht="42" customHeight="1">
      <c r="A1693" s="2" t="s">
        <v>4313</v>
      </c>
      <c r="B1693" s="2" t="s">
        <v>4313</v>
      </c>
      <c r="C1693" s="2" t="s">
        <v>215</v>
      </c>
      <c r="D1693" s="2" t="s">
        <v>18</v>
      </c>
      <c r="E1693" s="5">
        <v>-29467</v>
      </c>
      <c r="F1693" s="3" t="s">
        <v>1712</v>
      </c>
      <c r="G1693" s="3" t="s">
        <v>259</v>
      </c>
      <c r="H1693" s="2" t="s">
        <v>65</v>
      </c>
      <c r="I1693" s="2" t="s">
        <v>4314</v>
      </c>
      <c r="J1693" s="3" t="str">
        <f>HYPERLINK("https://www.boe.es/gazeta/dias/1819/04/27/pdfs/GMD-1819-50.pdf#page=2","Abrir facsímil")</f>
        <v>Abrir facsímil</v>
      </c>
      <c r="K1693" s="3" t="s">
        <v>67</v>
      </c>
    </row>
    <row r="1694" spans="1:11" ht="42" customHeight="1">
      <c r="A1694" s="2" t="s">
        <v>4315</v>
      </c>
      <c r="B1694" s="2" t="s">
        <v>4316</v>
      </c>
      <c r="C1694" s="2" t="s">
        <v>215</v>
      </c>
      <c r="D1694" s="2" t="s">
        <v>18</v>
      </c>
      <c r="E1694" s="5">
        <v>-29544</v>
      </c>
      <c r="F1694" s="3" t="s">
        <v>531</v>
      </c>
      <c r="G1694" s="3" t="s">
        <v>532</v>
      </c>
      <c r="H1694" s="2" t="s">
        <v>65</v>
      </c>
      <c r="I1694" s="2" t="s">
        <v>4317</v>
      </c>
      <c r="J1694" s="3" t="str">
        <f>HYPERLINK("https://www.boe.es/gazeta/dias/1819/02/09/pdfs/GMD-1819-17.pdf#page=8","Abrir facsímil")</f>
        <v>Abrir facsímil</v>
      </c>
      <c r="K1694" s="3" t="s">
        <v>67</v>
      </c>
    </row>
    <row r="1695" spans="1:11" ht="42" customHeight="1">
      <c r="A1695" s="2" t="s">
        <v>4318</v>
      </c>
      <c r="B1695" s="2" t="s">
        <v>4318</v>
      </c>
      <c r="C1695" s="2" t="s">
        <v>80</v>
      </c>
      <c r="D1695" s="2" t="s">
        <v>81</v>
      </c>
      <c r="E1695" s="5">
        <v>-29446</v>
      </c>
      <c r="F1695" s="3" t="s">
        <v>773</v>
      </c>
      <c r="G1695" s="3" t="s">
        <v>239</v>
      </c>
      <c r="H1695" s="2" t="s">
        <v>65</v>
      </c>
      <c r="I1695" s="2" t="s">
        <v>4319</v>
      </c>
      <c r="J1695" s="3" t="str">
        <f>HYPERLINK("https://www.boe.es/gazeta/dias/1819/05/18/pdfs/GMD-1819-59.pdf#page=1","Abrir facsímil")</f>
        <v>Abrir facsímil</v>
      </c>
      <c r="K1695" s="3" t="s">
        <v>67</v>
      </c>
    </row>
    <row r="1696" spans="1:11" ht="42" customHeight="1">
      <c r="A1696" s="2" t="s">
        <v>4320</v>
      </c>
      <c r="B1696" s="2" t="s">
        <v>4321</v>
      </c>
      <c r="C1696" s="2" t="s">
        <v>80</v>
      </c>
      <c r="D1696" s="2" t="s">
        <v>81</v>
      </c>
      <c r="E1696" s="5">
        <v>-29304</v>
      </c>
      <c r="F1696" s="3" t="s">
        <v>519</v>
      </c>
      <c r="G1696" s="3" t="s">
        <v>38</v>
      </c>
      <c r="H1696" s="2" t="s">
        <v>65</v>
      </c>
      <c r="I1696" s="2" t="s">
        <v>4322</v>
      </c>
      <c r="J1696" s="3" t="str">
        <f>HYPERLINK("https://www.boe.es/gazeta/dias/1819/10/07/pdfs/GMD-1819-123.pdf#page=5","Abrir facsímil")</f>
        <v>Abrir facsímil</v>
      </c>
      <c r="K1696" s="3" t="s">
        <v>67</v>
      </c>
    </row>
    <row r="1697" spans="1:11" ht="42" customHeight="1">
      <c r="A1697" s="2" t="s">
        <v>4323</v>
      </c>
      <c r="B1697" s="2" t="s">
        <v>4324</v>
      </c>
      <c r="C1697" s="2" t="s">
        <v>59</v>
      </c>
      <c r="D1697" s="2" t="s">
        <v>454</v>
      </c>
      <c r="E1697" s="5">
        <v>-29287</v>
      </c>
      <c r="F1697" s="3" t="s">
        <v>455</v>
      </c>
      <c r="G1697" s="3" t="s">
        <v>1113</v>
      </c>
      <c r="H1697" s="2" t="s">
        <v>65</v>
      </c>
      <c r="I1697" s="2" t="s">
        <v>4325</v>
      </c>
      <c r="J1697" s="3" t="str">
        <f>HYPERLINK("https://www.boe.es/gazeta/dias/1819/10/24/pdfs/GMD-1819-131E.pdf#page=7","Abrir facsímil")</f>
        <v>Abrir facsímil</v>
      </c>
      <c r="K1697" s="3" t="s">
        <v>67</v>
      </c>
    </row>
    <row r="1698" spans="1:11" ht="42" customHeight="1">
      <c r="A1698" s="2" t="s">
        <v>4326</v>
      </c>
      <c r="B1698" s="2" t="s">
        <v>4327</v>
      </c>
      <c r="C1698" s="2" t="s">
        <v>136</v>
      </c>
      <c r="D1698" s="2" t="s">
        <v>18</v>
      </c>
      <c r="E1698" s="5">
        <v>-29516</v>
      </c>
      <c r="F1698" s="3" t="s">
        <v>137</v>
      </c>
      <c r="G1698" s="3" t="s">
        <v>20</v>
      </c>
      <c r="H1698" s="2" t="s">
        <v>21</v>
      </c>
      <c r="I1698" s="2" t="s">
        <v>4328</v>
      </c>
      <c r="J1698" s="3" t="str">
        <f>HYPERLINK("https://www.boe.es/gazeta/dias/1819/03/09/pdfs/GMD-1819-29.pdf#page=10","Abrir facsímil")</f>
        <v>Abrir facsímil</v>
      </c>
      <c r="K1698" s="3" t="s">
        <v>23</v>
      </c>
    </row>
    <row r="1699" spans="1:11" ht="42" customHeight="1">
      <c r="A1699" s="2" t="s">
        <v>4329</v>
      </c>
      <c r="B1699" s="2" t="s">
        <v>4330</v>
      </c>
      <c r="C1699" s="2" t="s">
        <v>80</v>
      </c>
      <c r="D1699" s="2" t="s">
        <v>81</v>
      </c>
      <c r="E1699" s="5">
        <v>-29304</v>
      </c>
      <c r="F1699" s="3" t="s">
        <v>519</v>
      </c>
      <c r="G1699" s="3" t="s">
        <v>552</v>
      </c>
      <c r="H1699" s="2" t="s">
        <v>65</v>
      </c>
      <c r="I1699" s="2" t="s">
        <v>4331</v>
      </c>
      <c r="J1699" s="3" t="str">
        <f>HYPERLINK("https://www.boe.es/gazeta/dias/1819/10/07/pdfs/GMD-1819-123.pdf#page=6","Abrir facsímil")</f>
        <v>Abrir facsímil</v>
      </c>
      <c r="K1699" s="3" t="s">
        <v>67</v>
      </c>
    </row>
    <row r="1700" spans="1:11" ht="42" customHeight="1">
      <c r="A1700" s="2" t="s">
        <v>4332</v>
      </c>
      <c r="B1700" s="2" t="s">
        <v>4333</v>
      </c>
      <c r="C1700" s="2" t="s">
        <v>63</v>
      </c>
      <c r="D1700" s="2" t="s">
        <v>43</v>
      </c>
      <c r="E1700" s="5">
        <v>-29526</v>
      </c>
      <c r="F1700" s="3" t="s">
        <v>307</v>
      </c>
      <c r="G1700" s="3" t="s">
        <v>55</v>
      </c>
      <c r="H1700" s="2" t="s">
        <v>65</v>
      </c>
      <c r="I1700" s="2" t="s">
        <v>4334</v>
      </c>
      <c r="J1700" s="3" t="str">
        <f>HYPERLINK("https://www.boe.es/gazeta/dias/1819/02/27/pdfs/GMD-1819-25.pdf#page=7","Abrir facsímil")</f>
        <v>Abrir facsímil</v>
      </c>
      <c r="K1700" s="3" t="s">
        <v>67</v>
      </c>
    </row>
    <row r="1701" spans="1:11" ht="42" customHeight="1">
      <c r="A1701" s="2" t="s">
        <v>4335</v>
      </c>
      <c r="B1701" s="2" t="s">
        <v>4336</v>
      </c>
      <c r="C1701" s="2" t="s">
        <v>136</v>
      </c>
      <c r="D1701" s="2" t="s">
        <v>18</v>
      </c>
      <c r="E1701" s="5">
        <v>-29516</v>
      </c>
      <c r="F1701" s="3" t="s">
        <v>137</v>
      </c>
      <c r="G1701" s="3" t="s">
        <v>138</v>
      </c>
      <c r="H1701" s="2" t="s">
        <v>65</v>
      </c>
      <c r="I1701" s="2" t="s">
        <v>4337</v>
      </c>
      <c r="J1701" s="3" t="str">
        <f>HYPERLINK("https://www.boe.es/gazeta/dias/1819/03/09/pdfs/GMD-1819-29.pdf#page=12","Abrir facsímil")</f>
        <v>Abrir facsímil</v>
      </c>
      <c r="K1701" s="3" t="s">
        <v>67</v>
      </c>
    </row>
    <row r="1702" spans="1:11" ht="42" customHeight="1">
      <c r="A1702" s="2" t="s">
        <v>4338</v>
      </c>
      <c r="B1702" s="2" t="s">
        <v>4339</v>
      </c>
      <c r="C1702" s="2" t="s">
        <v>59</v>
      </c>
      <c r="D1702" s="2" t="s">
        <v>18</v>
      </c>
      <c r="E1702" s="5">
        <v>-29467</v>
      </c>
      <c r="F1702" s="3" t="s">
        <v>1712</v>
      </c>
      <c r="G1702" s="3" t="s">
        <v>28</v>
      </c>
      <c r="H1702" s="2" t="s">
        <v>65</v>
      </c>
      <c r="I1702" s="2" t="s">
        <v>4340</v>
      </c>
      <c r="J1702" s="3" t="str">
        <f>HYPERLINK("https://www.boe.es/gazeta/dias/1819/04/27/pdfs/GMD-1819-50.pdf#page=8","Abrir facsímil")</f>
        <v>Abrir facsímil</v>
      </c>
      <c r="K1702" s="3" t="s">
        <v>67</v>
      </c>
    </row>
    <row r="1703" spans="1:11" ht="42" customHeight="1">
      <c r="A1703" s="2" t="s">
        <v>4341</v>
      </c>
      <c r="B1703" s="2" t="s">
        <v>4341</v>
      </c>
      <c r="C1703" s="2" t="s">
        <v>80</v>
      </c>
      <c r="D1703" s="2" t="s">
        <v>81</v>
      </c>
      <c r="E1703" s="5">
        <v>-29425</v>
      </c>
      <c r="F1703" s="3" t="s">
        <v>110</v>
      </c>
      <c r="G1703" s="3" t="s">
        <v>259</v>
      </c>
      <c r="H1703" s="2" t="s">
        <v>65</v>
      </c>
      <c r="I1703" s="2" t="s">
        <v>4342</v>
      </c>
      <c r="J1703" s="3" t="str">
        <f>HYPERLINK("https://www.boe.es/gazeta/dias/1819/06/08/pdfs/GMD-1819-68.pdf#page=2","Abrir facsímil")</f>
        <v>Abrir facsímil</v>
      </c>
      <c r="K1703" s="3" t="s">
        <v>67</v>
      </c>
    </row>
    <row r="1704" spans="1:11" ht="42" customHeight="1">
      <c r="A1704" s="2" t="s">
        <v>4343</v>
      </c>
      <c r="B1704" s="2" t="s">
        <v>4343</v>
      </c>
      <c r="C1704" s="2" t="s">
        <v>80</v>
      </c>
      <c r="D1704" s="2" t="s">
        <v>81</v>
      </c>
      <c r="E1704" s="5">
        <v>-29537</v>
      </c>
      <c r="F1704" s="3" t="s">
        <v>593</v>
      </c>
      <c r="G1704" s="3" t="s">
        <v>259</v>
      </c>
      <c r="H1704" s="2" t="s">
        <v>65</v>
      </c>
      <c r="I1704" s="2" t="s">
        <v>4344</v>
      </c>
      <c r="J1704" s="3" t="str">
        <f>HYPERLINK("https://www.boe.es/gazeta/dias/1819/02/16/pdfs/GMD-1819-20.pdf#page=2","Abrir facsímil")</f>
        <v>Abrir facsímil</v>
      </c>
      <c r="K1704" s="3" t="s">
        <v>67</v>
      </c>
    </row>
    <row r="1705" spans="1:11" ht="42" customHeight="1">
      <c r="A1705" s="2" t="s">
        <v>4345</v>
      </c>
      <c r="B1705" s="2" t="s">
        <v>4346</v>
      </c>
      <c r="C1705" s="2" t="s">
        <v>63</v>
      </c>
      <c r="D1705" s="2" t="s">
        <v>43</v>
      </c>
      <c r="E1705" s="5">
        <v>-29327</v>
      </c>
      <c r="F1705" s="3" t="s">
        <v>620</v>
      </c>
      <c r="G1705" s="3" t="s">
        <v>239</v>
      </c>
      <c r="H1705" s="2" t="s">
        <v>65</v>
      </c>
      <c r="I1705" s="2" t="s">
        <v>4347</v>
      </c>
      <c r="J1705" s="3" t="str">
        <f>HYPERLINK("https://www.boe.es/gazeta/dias/1819/09/14/pdfs/GMD-1819-112.pdf#page=1","Abrir facsímil")</f>
        <v>Abrir facsímil</v>
      </c>
      <c r="K1705" s="3" t="s">
        <v>67</v>
      </c>
    </row>
    <row r="1706" spans="1:11" ht="42" customHeight="1">
      <c r="A1706" s="2" t="s">
        <v>4348</v>
      </c>
      <c r="B1706" s="2" t="s">
        <v>4349</v>
      </c>
      <c r="C1706" s="2" t="s">
        <v>80</v>
      </c>
      <c r="D1706" s="2" t="s">
        <v>81</v>
      </c>
      <c r="E1706" s="5">
        <v>-29502</v>
      </c>
      <c r="F1706" s="3" t="s">
        <v>86</v>
      </c>
      <c r="G1706" s="3" t="s">
        <v>2658</v>
      </c>
      <c r="H1706" s="2" t="s">
        <v>65</v>
      </c>
      <c r="I1706" s="2" t="s">
        <v>4350</v>
      </c>
      <c r="J1706" s="3" t="str">
        <f>HYPERLINK("https://www.boe.es/gazeta/dias/1819/03/23/pdfs/GMD-1819-35.pdf#page=4","Abrir facsímil")</f>
        <v>Abrir facsímil</v>
      </c>
      <c r="K1706" s="3" t="s">
        <v>67</v>
      </c>
    </row>
    <row r="1707" spans="1:11" ht="42" customHeight="1">
      <c r="A1707" s="2" t="s">
        <v>4351</v>
      </c>
      <c r="B1707" s="2" t="s">
        <v>4352</v>
      </c>
      <c r="C1707" s="2" t="s">
        <v>63</v>
      </c>
      <c r="D1707" s="2" t="s">
        <v>43</v>
      </c>
      <c r="E1707" s="5">
        <v>-29530</v>
      </c>
      <c r="F1707" s="3" t="s">
        <v>202</v>
      </c>
      <c r="G1707" s="3" t="s">
        <v>456</v>
      </c>
      <c r="H1707" s="2" t="s">
        <v>65</v>
      </c>
      <c r="I1707" s="2" t="s">
        <v>4353</v>
      </c>
      <c r="J1707" s="3" t="str">
        <f>HYPERLINK("https://www.boe.es/gazeta/dias/1819/02/23/pdfs/GMD-1819-23.pdf#page=9","Abrir facsímil")</f>
        <v>Abrir facsímil</v>
      </c>
      <c r="K1707" s="3" t="s">
        <v>67</v>
      </c>
    </row>
    <row r="1708" spans="1:11" ht="42" customHeight="1">
      <c r="A1708" s="2" t="s">
        <v>4354</v>
      </c>
      <c r="B1708" s="2" t="s">
        <v>4355</v>
      </c>
      <c r="C1708" s="2" t="s">
        <v>63</v>
      </c>
      <c r="D1708" s="2" t="s">
        <v>43</v>
      </c>
      <c r="E1708" s="5">
        <v>-29467</v>
      </c>
      <c r="F1708" s="3" t="s">
        <v>1712</v>
      </c>
      <c r="G1708" s="3" t="s">
        <v>28</v>
      </c>
      <c r="H1708" s="2" t="s">
        <v>65</v>
      </c>
      <c r="I1708" s="2" t="s">
        <v>4356</v>
      </c>
      <c r="J1708" s="3" t="str">
        <f>HYPERLINK("https://www.boe.es/gazeta/dias/1819/04/27/pdfs/GMD-1819-50.pdf#page=8","Abrir facsímil")</f>
        <v>Abrir facsímil</v>
      </c>
      <c r="K1708" s="3" t="s">
        <v>67</v>
      </c>
    </row>
    <row r="1709" spans="1:11" ht="42" customHeight="1">
      <c r="A1709" s="2" t="s">
        <v>4354</v>
      </c>
      <c r="B1709" s="2" t="s">
        <v>4355</v>
      </c>
      <c r="C1709" s="2" t="s">
        <v>63</v>
      </c>
      <c r="D1709" s="2" t="s">
        <v>43</v>
      </c>
      <c r="E1709" s="5">
        <v>-29432</v>
      </c>
      <c r="F1709" s="3" t="s">
        <v>1967</v>
      </c>
      <c r="G1709" s="3" t="s">
        <v>28</v>
      </c>
      <c r="H1709" s="2" t="s">
        <v>65</v>
      </c>
      <c r="I1709" s="2" t="s">
        <v>4357</v>
      </c>
      <c r="J1709" s="3" t="str">
        <f>HYPERLINK("https://www.boe.es/gazeta/dias/1819/06/01/pdfs/GMD-1819-65.pdf#page=8","Abrir facsímil")</f>
        <v>Abrir facsímil</v>
      </c>
      <c r="K1709" s="3" t="s">
        <v>67</v>
      </c>
    </row>
    <row r="1710" spans="1:11" ht="42" customHeight="1">
      <c r="A1710" s="2" t="s">
        <v>4354</v>
      </c>
      <c r="B1710" s="2" t="s">
        <v>4355</v>
      </c>
      <c r="C1710" s="2" t="s">
        <v>63</v>
      </c>
      <c r="D1710" s="2" t="s">
        <v>43</v>
      </c>
      <c r="E1710" s="5">
        <v>-29355</v>
      </c>
      <c r="F1710" s="3" t="s">
        <v>347</v>
      </c>
      <c r="G1710" s="3" t="s">
        <v>28</v>
      </c>
      <c r="H1710" s="2" t="s">
        <v>65</v>
      </c>
      <c r="I1710" s="2" t="s">
        <v>4358</v>
      </c>
      <c r="J1710" s="3" t="str">
        <f>HYPERLINK("https://www.boe.es/gazeta/dias/1819/08/17/pdfs/GMD-1819-99.pdf#page=8","Abrir facsímil")</f>
        <v>Abrir facsímil</v>
      </c>
      <c r="K1710" s="3" t="s">
        <v>67</v>
      </c>
    </row>
    <row r="1711" spans="1:11" ht="42" customHeight="1">
      <c r="A1711" s="2" t="s">
        <v>4354</v>
      </c>
      <c r="B1711" s="2" t="s">
        <v>4355</v>
      </c>
      <c r="C1711" s="2" t="s">
        <v>63</v>
      </c>
      <c r="D1711" s="2" t="s">
        <v>43</v>
      </c>
      <c r="E1711" s="5">
        <v>-29332</v>
      </c>
      <c r="F1711" s="3" t="s">
        <v>499</v>
      </c>
      <c r="G1711" s="3" t="s">
        <v>28</v>
      </c>
      <c r="H1711" s="2" t="s">
        <v>65</v>
      </c>
      <c r="I1711" s="2" t="s">
        <v>4359</v>
      </c>
      <c r="J1711" s="3" t="str">
        <f>HYPERLINK("https://www.boe.es/gazeta/dias/1819/09/09/pdfs/GMD-1819-110.pdf#page=8","Abrir facsímil")</f>
        <v>Abrir facsímil</v>
      </c>
      <c r="K1711" s="3" t="s">
        <v>67</v>
      </c>
    </row>
    <row r="1712" spans="1:11" ht="42" customHeight="1">
      <c r="A1712" s="2" t="s">
        <v>4354</v>
      </c>
      <c r="B1712" s="2" t="s">
        <v>4355</v>
      </c>
      <c r="C1712" s="2" t="s">
        <v>63</v>
      </c>
      <c r="D1712" s="2" t="s">
        <v>43</v>
      </c>
      <c r="E1712" s="5">
        <v>-29299</v>
      </c>
      <c r="F1712" s="3" t="s">
        <v>798</v>
      </c>
      <c r="G1712" s="3" t="s">
        <v>1562</v>
      </c>
      <c r="H1712" s="2" t="s">
        <v>65</v>
      </c>
      <c r="I1712" s="2" t="s">
        <v>4360</v>
      </c>
      <c r="J1712" s="3" t="str">
        <f>HYPERLINK("https://www.boe.es/gazeta/dias/1819/10/12/pdfs/GMD-1819-125.pdf#page=8","Abrir facsímil")</f>
        <v>Abrir facsímil</v>
      </c>
      <c r="K1712" s="3" t="s">
        <v>67</v>
      </c>
    </row>
    <row r="1713" spans="1:11" ht="42" customHeight="1">
      <c r="A1713" s="2" t="s">
        <v>4354</v>
      </c>
      <c r="B1713" s="2" t="s">
        <v>4355</v>
      </c>
      <c r="C1713" s="2" t="s">
        <v>215</v>
      </c>
      <c r="D1713" s="2" t="s">
        <v>18</v>
      </c>
      <c r="E1713" s="5">
        <v>-29234</v>
      </c>
      <c r="F1713" s="3" t="s">
        <v>343</v>
      </c>
      <c r="G1713" s="3" t="s">
        <v>28</v>
      </c>
      <c r="H1713" s="2" t="s">
        <v>65</v>
      </c>
      <c r="I1713" s="2" t="s">
        <v>4361</v>
      </c>
      <c r="J1713" s="3" t="str">
        <f>HYPERLINK("https://www.boe.es/gazeta/dias/1819/12/16/pdfs/GMD-1819-154.pdf#page=8","Abrir facsímil")</f>
        <v>Abrir facsímil</v>
      </c>
      <c r="K1713" s="3" t="s">
        <v>67</v>
      </c>
    </row>
    <row r="1714" spans="1:11" ht="42" customHeight="1">
      <c r="A1714" s="2" t="s">
        <v>4362</v>
      </c>
      <c r="B1714" s="2" t="s">
        <v>4363</v>
      </c>
      <c r="C1714" s="2" t="s">
        <v>63</v>
      </c>
      <c r="D1714" s="2" t="s">
        <v>43</v>
      </c>
      <c r="E1714" s="5">
        <v>-29500</v>
      </c>
      <c r="F1714" s="3" t="s">
        <v>212</v>
      </c>
      <c r="G1714" s="3" t="s">
        <v>28</v>
      </c>
      <c r="H1714" s="2" t="s">
        <v>65</v>
      </c>
      <c r="I1714" s="2" t="s">
        <v>4364</v>
      </c>
      <c r="J1714" s="3" t="str">
        <f>HYPERLINK("https://www.boe.es/gazeta/dias/1819/03/25/pdfs/GMD-1819-36.pdf#page=8","Abrir facsímil")</f>
        <v>Abrir facsímil</v>
      </c>
      <c r="K1714" s="3" t="s">
        <v>67</v>
      </c>
    </row>
    <row r="1715" spans="1:11" ht="42" customHeight="1">
      <c r="A1715" s="2" t="s">
        <v>4365</v>
      </c>
      <c r="B1715" s="2" t="s">
        <v>4366</v>
      </c>
      <c r="C1715" s="2" t="s">
        <v>80</v>
      </c>
      <c r="D1715" s="2" t="s">
        <v>81</v>
      </c>
      <c r="E1715" s="5">
        <v>-29290</v>
      </c>
      <c r="F1715" s="3" t="s">
        <v>622</v>
      </c>
      <c r="G1715" s="3" t="s">
        <v>55</v>
      </c>
      <c r="H1715" s="2" t="s">
        <v>65</v>
      </c>
      <c r="I1715" s="2" t="s">
        <v>4367</v>
      </c>
      <c r="J1715" s="3" t="str">
        <f>HYPERLINK("https://www.boe.es/gazeta/dias/1819/10/21/pdfs/GMD-1819-129.pdf#page=7","Abrir facsímil")</f>
        <v>Abrir facsímil</v>
      </c>
      <c r="K1715" s="3" t="s">
        <v>67</v>
      </c>
    </row>
    <row r="1716" spans="1:11" ht="42" customHeight="1">
      <c r="A1716" s="2" t="s">
        <v>4368</v>
      </c>
      <c r="B1716" s="2" t="s">
        <v>4369</v>
      </c>
      <c r="C1716" s="2" t="s">
        <v>59</v>
      </c>
      <c r="D1716" s="2" t="s">
        <v>18</v>
      </c>
      <c r="E1716" s="5">
        <v>-29269</v>
      </c>
      <c r="F1716" s="3" t="s">
        <v>565</v>
      </c>
      <c r="G1716" s="3" t="s">
        <v>38</v>
      </c>
      <c r="H1716" s="2" t="s">
        <v>65</v>
      </c>
      <c r="I1716" s="2" t="s">
        <v>4370</v>
      </c>
      <c r="J1716" s="3" t="str">
        <f>HYPERLINK("https://www.boe.es/gazeta/dias/1819/11/11/pdfs/GMD-1819-139.pdf#page=5","Abrir facsímil")</f>
        <v>Abrir facsímil</v>
      </c>
      <c r="K1716" s="3" t="s">
        <v>67</v>
      </c>
    </row>
    <row r="1717" spans="1:11" ht="42" customHeight="1">
      <c r="A1717" s="2" t="s">
        <v>4371</v>
      </c>
      <c r="B1717" s="2" t="s">
        <v>4372</v>
      </c>
      <c r="C1717" s="2" t="s">
        <v>80</v>
      </c>
      <c r="D1717" s="2" t="s">
        <v>454</v>
      </c>
      <c r="E1717" s="5">
        <v>-29287</v>
      </c>
      <c r="F1717" s="3" t="s">
        <v>455</v>
      </c>
      <c r="G1717" s="3" t="s">
        <v>1113</v>
      </c>
      <c r="H1717" s="2" t="s">
        <v>65</v>
      </c>
      <c r="I1717" s="2" t="s">
        <v>4373</v>
      </c>
      <c r="J1717" s="3" t="str">
        <f>HYPERLINK("https://www.boe.es/gazeta/dias/1819/10/24/pdfs/GMD-1819-131E.pdf#page=7","Abrir facsímil")</f>
        <v>Abrir facsímil</v>
      </c>
      <c r="K1717" s="3" t="s">
        <v>67</v>
      </c>
    </row>
    <row r="1718" spans="1:11" ht="42" customHeight="1">
      <c r="A1718" s="2" t="s">
        <v>4374</v>
      </c>
      <c r="B1718" s="2" t="s">
        <v>4375</v>
      </c>
      <c r="C1718" s="2" t="s">
        <v>63</v>
      </c>
      <c r="D1718" s="2" t="s">
        <v>43</v>
      </c>
      <c r="E1718" s="5">
        <v>-29540</v>
      </c>
      <c r="F1718" s="3" t="s">
        <v>154</v>
      </c>
      <c r="G1718" s="3" t="s">
        <v>55</v>
      </c>
      <c r="H1718" s="2" t="s">
        <v>65</v>
      </c>
      <c r="I1718" s="2" t="s">
        <v>4376</v>
      </c>
      <c r="J1718" s="3" t="str">
        <f>HYPERLINK("https://www.boe.es/gazeta/dias/1819/02/13/pdfs/GMD-1819-19.pdf#page=7","Abrir facsímil")</f>
        <v>Abrir facsímil</v>
      </c>
      <c r="K1718" s="3" t="s">
        <v>67</v>
      </c>
    </row>
    <row r="1719" spans="1:11" ht="42" customHeight="1">
      <c r="A1719" s="2" t="s">
        <v>4377</v>
      </c>
      <c r="B1719" s="2" t="s">
        <v>4378</v>
      </c>
      <c r="C1719" s="2" t="s">
        <v>59</v>
      </c>
      <c r="D1719" s="2" t="s">
        <v>18</v>
      </c>
      <c r="E1719" s="5">
        <v>-29253</v>
      </c>
      <c r="F1719" s="3" t="s">
        <v>242</v>
      </c>
      <c r="G1719" s="3" t="s">
        <v>33</v>
      </c>
      <c r="H1719" s="2" t="s">
        <v>65</v>
      </c>
      <c r="I1719" s="2" t="s">
        <v>4379</v>
      </c>
      <c r="J1719" s="3" t="str">
        <f>HYPERLINK("https://www.boe.es/gazeta/dias/1819/11/27/pdfs/GMD-1819-146.pdf#page=6","Abrir facsímil")</f>
        <v>Abrir facsímil</v>
      </c>
      <c r="K1719" s="3" t="s">
        <v>67</v>
      </c>
    </row>
    <row r="1720" spans="1:11" ht="42" customHeight="1">
      <c r="A1720" s="2" t="s">
        <v>4380</v>
      </c>
      <c r="B1720" s="2" t="s">
        <v>4381</v>
      </c>
      <c r="C1720" s="2" t="s">
        <v>63</v>
      </c>
      <c r="D1720" s="2" t="s">
        <v>43</v>
      </c>
      <c r="E1720" s="5">
        <v>-29456</v>
      </c>
      <c r="F1720" s="3" t="s">
        <v>468</v>
      </c>
      <c r="G1720" s="3" t="s">
        <v>28</v>
      </c>
      <c r="H1720" s="2" t="s">
        <v>65</v>
      </c>
      <c r="I1720" s="2" t="s">
        <v>4382</v>
      </c>
      <c r="J1720" s="3" t="str">
        <f>HYPERLINK("https://www.boe.es/gazeta/dias/1819/05/08/pdfs/GMD-1819-55.pdf#page=8","Abrir facsímil")</f>
        <v>Abrir facsímil</v>
      </c>
      <c r="K1720" s="3" t="s">
        <v>67</v>
      </c>
    </row>
    <row r="1721" spans="1:11" ht="42" customHeight="1">
      <c r="A1721" s="2" t="s">
        <v>4383</v>
      </c>
      <c r="B1721" s="2" t="s">
        <v>4384</v>
      </c>
      <c r="C1721" s="2" t="s">
        <v>59</v>
      </c>
      <c r="D1721" s="2" t="s">
        <v>18</v>
      </c>
      <c r="E1721" s="5">
        <v>-29241</v>
      </c>
      <c r="F1721" s="3" t="s">
        <v>1382</v>
      </c>
      <c r="G1721" s="3" t="s">
        <v>55</v>
      </c>
      <c r="H1721" s="2" t="s">
        <v>65</v>
      </c>
      <c r="I1721" s="2" t="s">
        <v>4385</v>
      </c>
      <c r="J1721" s="3" t="str">
        <f>HYPERLINK("https://www.boe.es/gazeta/dias/1819/12/09/pdfs/GMD-1819-151.pdf#page=7","Abrir facsímil")</f>
        <v>Abrir facsímil</v>
      </c>
      <c r="K1721" s="3" t="s">
        <v>67</v>
      </c>
    </row>
    <row r="1722" spans="1:11" ht="42" customHeight="1">
      <c r="A1722" s="2" t="s">
        <v>4386</v>
      </c>
      <c r="B1722" s="2" t="s">
        <v>4387</v>
      </c>
      <c r="C1722" s="2" t="s">
        <v>80</v>
      </c>
      <c r="D1722" s="2" t="s">
        <v>81</v>
      </c>
      <c r="E1722" s="5">
        <v>-29544</v>
      </c>
      <c r="F1722" s="3" t="s">
        <v>531</v>
      </c>
      <c r="G1722" s="3" t="s">
        <v>296</v>
      </c>
      <c r="H1722" s="2" t="s">
        <v>65</v>
      </c>
      <c r="I1722" s="2" t="s">
        <v>4388</v>
      </c>
      <c r="J1722" s="3" t="str">
        <f>HYPERLINK("https://www.boe.es/gazeta/dias/1819/02/09/pdfs/GMD-1819-17.pdf#page=4","Abrir facsímil")</f>
        <v>Abrir facsímil</v>
      </c>
      <c r="K1722" s="3" t="s">
        <v>67</v>
      </c>
    </row>
    <row r="1723" spans="1:11" ht="42" customHeight="1">
      <c r="A1723" s="2" t="s">
        <v>4389</v>
      </c>
      <c r="B1723" s="2" t="s">
        <v>4390</v>
      </c>
      <c r="C1723" s="2" t="s">
        <v>17</v>
      </c>
      <c r="D1723" s="2" t="s">
        <v>18</v>
      </c>
      <c r="E1723" s="5">
        <v>-29250</v>
      </c>
      <c r="F1723" s="3" t="s">
        <v>312</v>
      </c>
      <c r="G1723" s="3" t="s">
        <v>4391</v>
      </c>
      <c r="H1723" s="2" t="s">
        <v>21</v>
      </c>
      <c r="I1723" s="2" t="s">
        <v>4392</v>
      </c>
      <c r="J1723" s="3" t="str">
        <f>HYPERLINK("https://www.boe.es/gazeta/dias/1819/11/30/pdfs/GMD-1819-147.pdf#page=7","Abrir facsímil")</f>
        <v>Abrir facsímil</v>
      </c>
      <c r="K1723" s="3" t="s">
        <v>23</v>
      </c>
    </row>
    <row r="1724" spans="1:11" ht="42" customHeight="1">
      <c r="A1724" s="2" t="s">
        <v>4393</v>
      </c>
      <c r="B1724" s="2" t="s">
        <v>4394</v>
      </c>
      <c r="C1724" s="2" t="s">
        <v>246</v>
      </c>
      <c r="D1724" s="2" t="s">
        <v>18</v>
      </c>
      <c r="E1724" s="5">
        <v>-29509</v>
      </c>
      <c r="F1724" s="3" t="s">
        <v>942</v>
      </c>
      <c r="G1724" s="3" t="s">
        <v>28</v>
      </c>
      <c r="H1724" s="2" t="s">
        <v>65</v>
      </c>
      <c r="I1724" s="2" t="s">
        <v>4395</v>
      </c>
      <c r="J1724" s="3" t="str">
        <f>HYPERLINK("https://www.boe.es/gazeta/dias/1819/03/16/pdfs/GMD-1819-32.pdf#page=8","Abrir facsímil")</f>
        <v>Abrir facsímil</v>
      </c>
      <c r="K1724" s="3" t="s">
        <v>67</v>
      </c>
    </row>
    <row r="1725" spans="1:11" ht="42" customHeight="1">
      <c r="A1725" s="2" t="s">
        <v>4396</v>
      </c>
      <c r="B1725" s="2" t="s">
        <v>4397</v>
      </c>
      <c r="C1725" s="2" t="s">
        <v>215</v>
      </c>
      <c r="D1725" s="2" t="s">
        <v>18</v>
      </c>
      <c r="E1725" s="5">
        <v>-29400</v>
      </c>
      <c r="F1725" s="3" t="s">
        <v>2181</v>
      </c>
      <c r="G1725" s="3" t="s">
        <v>2182</v>
      </c>
      <c r="H1725" s="2" t="s">
        <v>65</v>
      </c>
      <c r="I1725" s="2" t="s">
        <v>4398</v>
      </c>
      <c r="J1725" s="3" t="str">
        <f>HYPERLINK("https://www.boe.es/gazeta/dias/1819/07/03/pdfs/GMD-1819-80.pdf#page=8","Abrir facsímil")</f>
        <v>Abrir facsímil</v>
      </c>
      <c r="K1725" s="3" t="s">
        <v>67</v>
      </c>
    </row>
    <row r="1726" spans="1:11" ht="42" customHeight="1">
      <c r="A1726" s="2" t="s">
        <v>4399</v>
      </c>
      <c r="B1726" s="2" t="s">
        <v>4399</v>
      </c>
      <c r="C1726" s="2" t="s">
        <v>17</v>
      </c>
      <c r="D1726" s="2" t="s">
        <v>18</v>
      </c>
      <c r="E1726" s="5">
        <v>-29568</v>
      </c>
      <c r="F1726" s="3" t="s">
        <v>966</v>
      </c>
      <c r="G1726" s="3" t="s">
        <v>28</v>
      </c>
      <c r="H1726" s="2" t="s">
        <v>65</v>
      </c>
      <c r="I1726" s="2" t="s">
        <v>4400</v>
      </c>
      <c r="J1726" s="3" t="str">
        <f>HYPERLINK("https://www.boe.es/gazeta/dias/1819/01/16/pdfs/GMD-1819-7.pdf#page=8","Abrir facsímil")</f>
        <v>Abrir facsímil</v>
      </c>
      <c r="K1726" s="3" t="s">
        <v>67</v>
      </c>
    </row>
    <row r="1727" spans="1:11" ht="42" customHeight="1">
      <c r="A1727" s="2" t="s">
        <v>4399</v>
      </c>
      <c r="B1727" s="2" t="s">
        <v>4399</v>
      </c>
      <c r="C1727" s="2" t="s">
        <v>17</v>
      </c>
      <c r="D1727" s="2" t="s">
        <v>18</v>
      </c>
      <c r="E1727" s="5">
        <v>-29484</v>
      </c>
      <c r="F1727" s="3" t="s">
        <v>295</v>
      </c>
      <c r="G1727" s="3" t="s">
        <v>28</v>
      </c>
      <c r="H1727" s="2" t="s">
        <v>65</v>
      </c>
      <c r="I1727" s="2" t="s">
        <v>4401</v>
      </c>
      <c r="J1727" s="3" t="str">
        <f>HYPERLINK("https://www.boe.es/gazeta/dias/1819/04/10/pdfs/GMD-1819-43.pdf#page=8","Abrir facsímil")</f>
        <v>Abrir facsímil</v>
      </c>
      <c r="K1727" s="3" t="s">
        <v>67</v>
      </c>
    </row>
    <row r="1728" spans="1:11" ht="42" customHeight="1">
      <c r="A1728" s="2" t="s">
        <v>4399</v>
      </c>
      <c r="B1728" s="2" t="s">
        <v>4399</v>
      </c>
      <c r="C1728" s="2" t="s">
        <v>80</v>
      </c>
      <c r="D1728" s="2" t="s">
        <v>81</v>
      </c>
      <c r="E1728" s="5">
        <v>-29442</v>
      </c>
      <c r="F1728" s="3" t="s">
        <v>427</v>
      </c>
      <c r="G1728" s="3" t="s">
        <v>55</v>
      </c>
      <c r="H1728" s="2" t="s">
        <v>65</v>
      </c>
      <c r="I1728" s="2" t="s">
        <v>4402</v>
      </c>
      <c r="J1728" s="3" t="str">
        <f>HYPERLINK("https://www.boe.es/gazeta/dias/1819/05/22/pdfs/GMD-1819-61.pdf#page=7","Abrir facsímil")</f>
        <v>Abrir facsímil</v>
      </c>
      <c r="K1728" s="3" t="s">
        <v>67</v>
      </c>
    </row>
    <row r="1729" spans="1:11" ht="42" customHeight="1">
      <c r="A1729" s="2" t="s">
        <v>4399</v>
      </c>
      <c r="B1729" s="2" t="s">
        <v>4399</v>
      </c>
      <c r="C1729" s="2" t="s">
        <v>17</v>
      </c>
      <c r="D1729" s="2" t="s">
        <v>18</v>
      </c>
      <c r="E1729" s="5">
        <v>-29388</v>
      </c>
      <c r="F1729" s="3" t="s">
        <v>879</v>
      </c>
      <c r="G1729" s="3" t="s">
        <v>28</v>
      </c>
      <c r="H1729" s="2" t="s">
        <v>65</v>
      </c>
      <c r="I1729" s="2" t="s">
        <v>4403</v>
      </c>
      <c r="J1729" s="3" t="str">
        <f>HYPERLINK("https://www.boe.es/gazeta/dias/1819/07/15/pdfs/GMD-1819-85.pdf#page=8","Abrir facsímil")</f>
        <v>Abrir facsímil</v>
      </c>
      <c r="K1729" s="3" t="s">
        <v>67</v>
      </c>
    </row>
    <row r="1730" spans="1:11" ht="42" customHeight="1">
      <c r="A1730" s="2" t="s">
        <v>4404</v>
      </c>
      <c r="B1730" s="2" t="s">
        <v>4405</v>
      </c>
      <c r="C1730" s="2" t="s">
        <v>17</v>
      </c>
      <c r="D1730" s="2" t="s">
        <v>18</v>
      </c>
      <c r="E1730" s="5">
        <v>-29533</v>
      </c>
      <c r="F1730" s="3" t="s">
        <v>280</v>
      </c>
      <c r="G1730" s="3" t="s">
        <v>55</v>
      </c>
      <c r="H1730" s="2" t="s">
        <v>21</v>
      </c>
      <c r="I1730" s="2" t="s">
        <v>4406</v>
      </c>
      <c r="J1730" s="3" t="str">
        <f>HYPERLINK("https://www.boe.es/gazeta/dias/1819/02/20/pdfs/GMD-1819-22.pdf#page=7","Abrir facsímil")</f>
        <v>Abrir facsímil</v>
      </c>
      <c r="K1730" s="3" t="s">
        <v>23</v>
      </c>
    </row>
    <row r="1731" spans="1:11" ht="42" customHeight="1">
      <c r="A1731" s="2" t="s">
        <v>4407</v>
      </c>
      <c r="B1731" s="2" t="s">
        <v>4408</v>
      </c>
      <c r="C1731" s="2" t="s">
        <v>59</v>
      </c>
      <c r="D1731" s="2" t="s">
        <v>18</v>
      </c>
      <c r="E1731" s="5">
        <v>-29369</v>
      </c>
      <c r="F1731" s="3" t="s">
        <v>231</v>
      </c>
      <c r="G1731" s="3" t="s">
        <v>33</v>
      </c>
      <c r="H1731" s="2" t="s">
        <v>65</v>
      </c>
      <c r="I1731" s="2" t="s">
        <v>4409</v>
      </c>
      <c r="J1731" s="3" t="str">
        <f>HYPERLINK("https://www.boe.es/gazeta/dias/1819/08/03/pdfs/GMD-1819-93.pdf#page=6","Abrir facsímil")</f>
        <v>Abrir facsímil</v>
      </c>
      <c r="K1731" s="3" t="s">
        <v>67</v>
      </c>
    </row>
    <row r="1732" spans="1:11" ht="42" customHeight="1">
      <c r="A1732" s="2" t="s">
        <v>4410</v>
      </c>
      <c r="B1732" s="2" t="s">
        <v>4411</v>
      </c>
      <c r="C1732" s="2" t="s">
        <v>17</v>
      </c>
      <c r="D1732" s="2" t="s">
        <v>18</v>
      </c>
      <c r="E1732" s="5">
        <v>-29271</v>
      </c>
      <c r="F1732" s="3" t="s">
        <v>32</v>
      </c>
      <c r="G1732" s="3" t="s">
        <v>33</v>
      </c>
      <c r="H1732" s="2" t="s">
        <v>21</v>
      </c>
      <c r="I1732" s="2" t="s">
        <v>4412</v>
      </c>
      <c r="J1732" s="3" t="str">
        <f>HYPERLINK("https://www.boe.es/gazeta/dias/1819/11/09/pdfs/GMD-1819-138.pdf#page=6","Abrir facsímil")</f>
        <v>Abrir facsímil</v>
      </c>
      <c r="K1732" s="3" t="s">
        <v>23</v>
      </c>
    </row>
    <row r="1733" spans="1:11" ht="42" customHeight="1">
      <c r="A1733" s="2" t="s">
        <v>4413</v>
      </c>
      <c r="B1733" s="2" t="s">
        <v>4413</v>
      </c>
      <c r="C1733" s="2" t="s">
        <v>80</v>
      </c>
      <c r="D1733" s="2" t="s">
        <v>81</v>
      </c>
      <c r="E1733" s="5">
        <v>-29246</v>
      </c>
      <c r="F1733" s="3" t="s">
        <v>494</v>
      </c>
      <c r="G1733" s="3" t="s">
        <v>495</v>
      </c>
      <c r="H1733" s="2" t="s">
        <v>65</v>
      </c>
      <c r="I1733" s="2" t="s">
        <v>4414</v>
      </c>
      <c r="J1733" s="3" t="str">
        <f>HYPERLINK("https://www.boe.es/gazeta/dias/1819/12/04/pdfs/GMD-1819-149.pdf#page=6","Abrir facsímil")</f>
        <v>Abrir facsímil</v>
      </c>
      <c r="K1733" s="3" t="s">
        <v>67</v>
      </c>
    </row>
    <row r="1734" spans="1:11" ht="42" customHeight="1">
      <c r="A1734" s="2" t="s">
        <v>4415</v>
      </c>
      <c r="B1734" s="2" t="s">
        <v>4416</v>
      </c>
      <c r="C1734" s="2" t="s">
        <v>80</v>
      </c>
      <c r="D1734" s="2" t="s">
        <v>81</v>
      </c>
      <c r="E1734" s="5">
        <v>-29407</v>
      </c>
      <c r="F1734" s="3" t="s">
        <v>64</v>
      </c>
      <c r="G1734" s="3" t="s">
        <v>33</v>
      </c>
      <c r="H1734" s="2" t="s">
        <v>65</v>
      </c>
      <c r="I1734" s="2" t="s">
        <v>4417</v>
      </c>
      <c r="J1734" s="3" t="str">
        <f>HYPERLINK("https://www.boe.es/gazeta/dias/1819/06/26/pdfs/GMD-1819-77.pdf#page=6","Abrir facsímil")</f>
        <v>Abrir facsímil</v>
      </c>
      <c r="K1734" s="3" t="s">
        <v>67</v>
      </c>
    </row>
    <row r="1735" spans="1:11" ht="42" customHeight="1">
      <c r="A1735" s="2" t="s">
        <v>4418</v>
      </c>
      <c r="B1735" s="2" t="s">
        <v>4419</v>
      </c>
      <c r="C1735" s="2" t="s">
        <v>59</v>
      </c>
      <c r="D1735" s="2" t="s">
        <v>18</v>
      </c>
      <c r="E1735" s="5">
        <v>-29577</v>
      </c>
      <c r="F1735" s="3" t="s">
        <v>1008</v>
      </c>
      <c r="G1735" s="3" t="s">
        <v>55</v>
      </c>
      <c r="H1735" s="2" t="s">
        <v>65</v>
      </c>
      <c r="I1735" s="2" t="s">
        <v>4420</v>
      </c>
      <c r="J1735" s="3" t="str">
        <f>HYPERLINK("https://www.boe.es/gazeta/dias/1819/01/07/pdfs/GMD-1819-3.pdf#page=7","Abrir facsímil")</f>
        <v>Abrir facsímil</v>
      </c>
      <c r="K1735" s="3" t="s">
        <v>67</v>
      </c>
    </row>
    <row r="1736" spans="1:11" ht="42" customHeight="1">
      <c r="A1736" s="2" t="s">
        <v>4421</v>
      </c>
      <c r="B1736" s="2" t="s">
        <v>4422</v>
      </c>
      <c r="C1736" s="2" t="s">
        <v>63</v>
      </c>
      <c r="D1736" s="2" t="s">
        <v>43</v>
      </c>
      <c r="E1736" s="5">
        <v>-29334</v>
      </c>
      <c r="F1736" s="3" t="s">
        <v>3082</v>
      </c>
      <c r="G1736" s="3" t="s">
        <v>33</v>
      </c>
      <c r="H1736" s="2" t="s">
        <v>65</v>
      </c>
      <c r="I1736" s="2" t="s">
        <v>4423</v>
      </c>
      <c r="J1736" s="3" t="str">
        <f>HYPERLINK("https://www.boe.es/gazeta/dias/1819/09/07/pdfs/GMD-1819-109.pdf#page=6","Abrir facsímil")</f>
        <v>Abrir facsímil</v>
      </c>
      <c r="K1736" s="3" t="s">
        <v>67</v>
      </c>
    </row>
    <row r="1737" spans="1:11" ht="42" customHeight="1">
      <c r="A1737" s="2" t="s">
        <v>4418</v>
      </c>
      <c r="B1737" s="2" t="s">
        <v>4419</v>
      </c>
      <c r="C1737" s="2" t="s">
        <v>63</v>
      </c>
      <c r="D1737" s="2" t="s">
        <v>454</v>
      </c>
      <c r="E1737" s="5">
        <v>-29324</v>
      </c>
      <c r="F1737" s="3" t="s">
        <v>914</v>
      </c>
      <c r="G1737" s="3" t="s">
        <v>259</v>
      </c>
      <c r="H1737" s="2" t="s">
        <v>65</v>
      </c>
      <c r="I1737" s="2" t="s">
        <v>4424</v>
      </c>
      <c r="J1737" s="3" t="str">
        <f>HYPERLINK("https://www.boe.es/gazeta/dias/1819/09/17/pdfs/GMD-1819-114E.pdf#page=2","Abrir facsímil")</f>
        <v>Abrir facsímil</v>
      </c>
      <c r="K1737" s="3" t="s">
        <v>67</v>
      </c>
    </row>
    <row r="1738" spans="1:11" ht="42" customHeight="1">
      <c r="A1738" s="2" t="s">
        <v>4425</v>
      </c>
      <c r="B1738" s="2" t="s">
        <v>4425</v>
      </c>
      <c r="C1738" s="2" t="s">
        <v>59</v>
      </c>
      <c r="D1738" s="2" t="s">
        <v>18</v>
      </c>
      <c r="E1738" s="5">
        <v>-29267</v>
      </c>
      <c r="F1738" s="3" t="s">
        <v>370</v>
      </c>
      <c r="G1738" s="3" t="s">
        <v>33</v>
      </c>
      <c r="H1738" s="2" t="s">
        <v>65</v>
      </c>
      <c r="I1738" s="2" t="s">
        <v>4426</v>
      </c>
      <c r="J1738" s="3" t="str">
        <f>HYPERLINK("https://www.boe.es/gazeta/dias/1819/11/13/pdfs/GMD-1819-140.pdf#page=6","Abrir facsímil")</f>
        <v>Abrir facsímil</v>
      </c>
      <c r="K1738" s="3" t="s">
        <v>67</v>
      </c>
    </row>
    <row r="1739" spans="1:11" ht="42" customHeight="1">
      <c r="A1739" s="2" t="s">
        <v>4427</v>
      </c>
      <c r="B1739" s="2" t="s">
        <v>4428</v>
      </c>
      <c r="C1739" s="2" t="s">
        <v>59</v>
      </c>
      <c r="D1739" s="2" t="s">
        <v>18</v>
      </c>
      <c r="E1739" s="5">
        <v>-29509</v>
      </c>
      <c r="F1739" s="3" t="s">
        <v>942</v>
      </c>
      <c r="G1739" s="3" t="s">
        <v>28</v>
      </c>
      <c r="H1739" s="2" t="s">
        <v>65</v>
      </c>
      <c r="I1739" s="2" t="s">
        <v>4429</v>
      </c>
      <c r="J1739" s="3" t="str">
        <f>HYPERLINK("https://www.boe.es/gazeta/dias/1819/03/16/pdfs/GMD-1819-32.pdf#page=8","Abrir facsímil")</f>
        <v>Abrir facsímil</v>
      </c>
      <c r="K1739" s="3" t="s">
        <v>67</v>
      </c>
    </row>
    <row r="1740" spans="1:11" ht="42" customHeight="1">
      <c r="A1740" s="2" t="s">
        <v>4430</v>
      </c>
      <c r="B1740" s="2" t="s">
        <v>4431</v>
      </c>
      <c r="C1740" s="2" t="s">
        <v>26</v>
      </c>
      <c r="D1740" s="2" t="s">
        <v>18</v>
      </c>
      <c r="E1740" s="5">
        <v>-29402</v>
      </c>
      <c r="F1740" s="3" t="s">
        <v>1091</v>
      </c>
      <c r="G1740" s="3" t="s">
        <v>28</v>
      </c>
      <c r="H1740" s="2" t="s">
        <v>65</v>
      </c>
      <c r="I1740" s="2" t="s">
        <v>4432</v>
      </c>
      <c r="J1740" s="3" t="str">
        <f>HYPERLINK("https://www.boe.es/gazeta/dias/1819/07/01/pdfs/GMD-1819-79.pdf#page=8","Abrir facsímil")</f>
        <v>Abrir facsímil</v>
      </c>
      <c r="K1740" s="3" t="s">
        <v>67</v>
      </c>
    </row>
    <row r="1741" spans="1:11" ht="42" customHeight="1">
      <c r="A1741" s="2" t="s">
        <v>4433</v>
      </c>
      <c r="B1741" s="2" t="s">
        <v>4434</v>
      </c>
      <c r="C1741" s="2" t="s">
        <v>80</v>
      </c>
      <c r="D1741" s="2" t="s">
        <v>81</v>
      </c>
      <c r="E1741" s="5">
        <v>-29514</v>
      </c>
      <c r="F1741" s="3" t="s">
        <v>595</v>
      </c>
      <c r="G1741" s="3" t="s">
        <v>28</v>
      </c>
      <c r="H1741" s="2" t="s">
        <v>65</v>
      </c>
      <c r="I1741" s="2" t="s">
        <v>4435</v>
      </c>
      <c r="J1741" s="3" t="str">
        <f>HYPERLINK("https://www.boe.es/gazeta/dias/1819/03/11/pdfs/GMD-1819-30.pdf#page=8","Abrir facsímil")</f>
        <v>Abrir facsímil</v>
      </c>
      <c r="K1741" s="3" t="s">
        <v>67</v>
      </c>
    </row>
    <row r="1742" spans="1:11" ht="42" customHeight="1">
      <c r="A1742" s="2" t="s">
        <v>4436</v>
      </c>
      <c r="B1742" s="2" t="s">
        <v>4436</v>
      </c>
      <c r="C1742" s="2" t="s">
        <v>63</v>
      </c>
      <c r="D1742" s="2" t="s">
        <v>454</v>
      </c>
      <c r="E1742" s="5">
        <v>-29287</v>
      </c>
      <c r="F1742" s="3" t="s">
        <v>455</v>
      </c>
      <c r="G1742" s="3" t="s">
        <v>456</v>
      </c>
      <c r="H1742" s="2" t="s">
        <v>65</v>
      </c>
      <c r="I1742" s="2" t="s">
        <v>4437</v>
      </c>
      <c r="J1742" s="3" t="str">
        <f>HYPERLINK("https://www.boe.es/gazeta/dias/1819/10/24/pdfs/GMD-1819-131E.pdf#page=9","Abrir facsímil")</f>
        <v>Abrir facsímil</v>
      </c>
      <c r="K1742" s="3" t="s">
        <v>67</v>
      </c>
    </row>
    <row r="1743" spans="1:11" ht="42" customHeight="1">
      <c r="A1743" s="2" t="s">
        <v>4438</v>
      </c>
      <c r="B1743" s="2" t="s">
        <v>4439</v>
      </c>
      <c r="C1743" s="2" t="s">
        <v>136</v>
      </c>
      <c r="D1743" s="2" t="s">
        <v>18</v>
      </c>
      <c r="E1743" s="5">
        <v>-29521</v>
      </c>
      <c r="F1743" s="3" t="s">
        <v>1002</v>
      </c>
      <c r="G1743" s="3" t="s">
        <v>55</v>
      </c>
      <c r="H1743" s="2" t="s">
        <v>65</v>
      </c>
      <c r="I1743" s="2" t="s">
        <v>4440</v>
      </c>
      <c r="J1743" s="3" t="str">
        <f>HYPERLINK("https://www.boe.es/gazeta/dias/1819/03/04/pdfs/GMD-1819-27.pdf#page=7","Abrir facsímil")</f>
        <v>Abrir facsímil</v>
      </c>
      <c r="K1743" s="3" t="s">
        <v>67</v>
      </c>
    </row>
    <row r="1744" spans="1:11" ht="42" customHeight="1">
      <c r="A1744" s="2" t="s">
        <v>4441</v>
      </c>
      <c r="B1744" s="2" t="s">
        <v>4442</v>
      </c>
      <c r="C1744" s="2" t="s">
        <v>17</v>
      </c>
      <c r="D1744" s="2" t="s">
        <v>18</v>
      </c>
      <c r="E1744" s="5">
        <v>-29502</v>
      </c>
      <c r="F1744" s="3" t="s">
        <v>86</v>
      </c>
      <c r="G1744" s="3" t="s">
        <v>102</v>
      </c>
      <c r="H1744" s="2" t="s">
        <v>65</v>
      </c>
      <c r="I1744" s="2" t="s">
        <v>4443</v>
      </c>
      <c r="J1744" s="3" t="str">
        <f>HYPERLINK("https://www.boe.es/gazeta/dias/1819/03/23/pdfs/GMD-1819-35.pdf#page=3","Abrir facsímil")</f>
        <v>Abrir facsímil</v>
      </c>
      <c r="K1744" s="3" t="s">
        <v>67</v>
      </c>
    </row>
    <row r="1745" spans="1:11" ht="42" customHeight="1">
      <c r="A1745" s="2" t="s">
        <v>4444</v>
      </c>
      <c r="B1745" s="2" t="s">
        <v>4444</v>
      </c>
      <c r="C1745" s="2" t="s">
        <v>63</v>
      </c>
      <c r="D1745" s="2" t="s">
        <v>43</v>
      </c>
      <c r="E1745" s="5">
        <v>-29383</v>
      </c>
      <c r="F1745" s="3" t="s">
        <v>631</v>
      </c>
      <c r="G1745" s="3" t="s">
        <v>28</v>
      </c>
      <c r="H1745" s="2" t="s">
        <v>65</v>
      </c>
      <c r="I1745" s="2" t="s">
        <v>4445</v>
      </c>
      <c r="J1745" s="3" t="str">
        <f>HYPERLINK("https://www.boe.es/gazeta/dias/1819/07/20/pdfs/GMD-1819-87.pdf#page=8","Abrir facsímil")</f>
        <v>Abrir facsímil</v>
      </c>
      <c r="K1745" s="3" t="s">
        <v>67</v>
      </c>
    </row>
    <row r="1746" spans="1:11" ht="42" customHeight="1">
      <c r="A1746" s="2" t="s">
        <v>4446</v>
      </c>
      <c r="B1746" s="2" t="s">
        <v>4446</v>
      </c>
      <c r="C1746" s="2" t="s">
        <v>59</v>
      </c>
      <c r="D1746" s="2" t="s">
        <v>18</v>
      </c>
      <c r="E1746" s="5">
        <v>-29381</v>
      </c>
      <c r="F1746" s="3" t="s">
        <v>736</v>
      </c>
      <c r="G1746" s="3" t="s">
        <v>38</v>
      </c>
      <c r="H1746" s="2" t="s">
        <v>65</v>
      </c>
      <c r="I1746" s="2" t="s">
        <v>4447</v>
      </c>
      <c r="J1746" s="3" t="str">
        <f>HYPERLINK("https://www.boe.es/gazeta/dias/1819/07/22/pdfs/GMD-1819-88.pdf#page=5","Abrir facsímil")</f>
        <v>Abrir facsímil</v>
      </c>
      <c r="K1746" s="3" t="s">
        <v>67</v>
      </c>
    </row>
    <row r="1747" spans="1:11" ht="42" customHeight="1">
      <c r="A1747" s="2" t="s">
        <v>4446</v>
      </c>
      <c r="B1747" s="2" t="s">
        <v>4446</v>
      </c>
      <c r="C1747" s="2" t="s">
        <v>63</v>
      </c>
      <c r="D1747" s="2" t="s">
        <v>43</v>
      </c>
      <c r="E1747" s="5">
        <v>-29236</v>
      </c>
      <c r="F1747" s="3" t="s">
        <v>379</v>
      </c>
      <c r="G1747" s="3" t="s">
        <v>55</v>
      </c>
      <c r="H1747" s="2" t="s">
        <v>65</v>
      </c>
      <c r="I1747" s="2" t="s">
        <v>4448</v>
      </c>
      <c r="J1747" s="3" t="str">
        <f>HYPERLINK("https://www.boe.es/gazeta/dias/1819/12/14/pdfs/GMD-1819-153.pdf#page=7","Abrir facsímil")</f>
        <v>Abrir facsímil</v>
      </c>
      <c r="K1747" s="3" t="s">
        <v>67</v>
      </c>
    </row>
    <row r="1748" spans="1:11" ht="42" customHeight="1">
      <c r="A1748" s="2" t="s">
        <v>4449</v>
      </c>
      <c r="B1748" s="2" t="s">
        <v>4449</v>
      </c>
      <c r="C1748" s="2" t="s">
        <v>80</v>
      </c>
      <c r="D1748" s="2" t="s">
        <v>81</v>
      </c>
      <c r="E1748" s="5">
        <v>-29556</v>
      </c>
      <c r="F1748" s="3" t="s">
        <v>255</v>
      </c>
      <c r="G1748" s="3" t="s">
        <v>28</v>
      </c>
      <c r="H1748" s="2" t="s">
        <v>65</v>
      </c>
      <c r="I1748" s="2" t="s">
        <v>4450</v>
      </c>
      <c r="J1748" s="3" t="str">
        <f>HYPERLINK("https://www.boe.es/gazeta/dias/1819/01/28/pdfs/GMD-1819-12.pdf#page=8","Abrir facsímil")</f>
        <v>Abrir facsímil</v>
      </c>
      <c r="K1748" s="3" t="s">
        <v>67</v>
      </c>
    </row>
    <row r="1749" spans="1:11" ht="42" customHeight="1">
      <c r="A1749" s="2" t="s">
        <v>4449</v>
      </c>
      <c r="B1749" s="2" t="s">
        <v>4449</v>
      </c>
      <c r="C1749" s="2" t="s">
        <v>59</v>
      </c>
      <c r="D1749" s="2" t="s">
        <v>18</v>
      </c>
      <c r="E1749" s="5">
        <v>-29509</v>
      </c>
      <c r="F1749" s="3" t="s">
        <v>942</v>
      </c>
      <c r="G1749" s="3" t="s">
        <v>28</v>
      </c>
      <c r="H1749" s="2" t="s">
        <v>65</v>
      </c>
      <c r="I1749" s="2" t="s">
        <v>4451</v>
      </c>
      <c r="J1749" s="3" t="str">
        <f>HYPERLINK("https://www.boe.es/gazeta/dias/1819/03/16/pdfs/GMD-1819-32.pdf#page=8","Abrir facsímil")</f>
        <v>Abrir facsímil</v>
      </c>
      <c r="K1749" s="3" t="s">
        <v>67</v>
      </c>
    </row>
    <row r="1750" spans="1:11" ht="42" customHeight="1">
      <c r="A1750" s="2" t="s">
        <v>4449</v>
      </c>
      <c r="B1750" s="2" t="s">
        <v>4449</v>
      </c>
      <c r="C1750" s="2" t="s">
        <v>59</v>
      </c>
      <c r="D1750" s="2" t="s">
        <v>18</v>
      </c>
      <c r="E1750" s="5">
        <v>-29472</v>
      </c>
      <c r="F1750" s="3" t="s">
        <v>393</v>
      </c>
      <c r="G1750" s="3" t="s">
        <v>28</v>
      </c>
      <c r="H1750" s="2" t="s">
        <v>65</v>
      </c>
      <c r="I1750" s="2" t="s">
        <v>4452</v>
      </c>
      <c r="J1750" s="3" t="str">
        <f>HYPERLINK("https://www.boe.es/gazeta/dias/1819/04/22/pdfs/GMD-1819-48.pdf#page=8","Abrir facsímil")</f>
        <v>Abrir facsímil</v>
      </c>
      <c r="K1750" s="3" t="s">
        <v>67</v>
      </c>
    </row>
    <row r="1751" spans="1:11" ht="42" customHeight="1">
      <c r="A1751" s="2" t="s">
        <v>4449</v>
      </c>
      <c r="B1751" s="2" t="s">
        <v>4449</v>
      </c>
      <c r="C1751" s="2" t="s">
        <v>80</v>
      </c>
      <c r="D1751" s="2" t="s">
        <v>81</v>
      </c>
      <c r="E1751" s="5">
        <v>-29465</v>
      </c>
      <c r="F1751" s="3" t="s">
        <v>1934</v>
      </c>
      <c r="G1751" s="3" t="s">
        <v>4453</v>
      </c>
      <c r="H1751" s="2" t="s">
        <v>65</v>
      </c>
      <c r="I1751" s="2" t="s">
        <v>4454</v>
      </c>
      <c r="J1751" s="3" t="str">
        <f>HYPERLINK("https://www.boe.es/gazeta/dias/1819/04/29/pdfs/GMD-1819-51.pdf#page=6","Abrir facsímil")</f>
        <v>Abrir facsímil</v>
      </c>
      <c r="K1751" s="3" t="s">
        <v>67</v>
      </c>
    </row>
    <row r="1752" spans="1:11" ht="42" customHeight="1">
      <c r="A1752" s="2" t="s">
        <v>4449</v>
      </c>
      <c r="B1752" s="2" t="s">
        <v>4449</v>
      </c>
      <c r="C1752" s="2" t="s">
        <v>80</v>
      </c>
      <c r="D1752" s="2" t="s">
        <v>81</v>
      </c>
      <c r="E1752" s="5">
        <v>-29460</v>
      </c>
      <c r="F1752" s="3" t="s">
        <v>1534</v>
      </c>
      <c r="G1752" s="3" t="s">
        <v>4455</v>
      </c>
      <c r="H1752" s="2" t="s">
        <v>65</v>
      </c>
      <c r="I1752" s="2" t="s">
        <v>4456</v>
      </c>
      <c r="J1752" s="3" t="str">
        <f>HYPERLINK("https://www.boe.es/gazeta/dias/1819/05/04/pdfs/GMD-1819-53.pdf#page=5","Abrir facsímil")</f>
        <v>Abrir facsímil</v>
      </c>
      <c r="K1752" s="3" t="s">
        <v>67</v>
      </c>
    </row>
    <row r="1753" spans="1:11" ht="42" customHeight="1">
      <c r="A1753" s="2" t="s">
        <v>4449</v>
      </c>
      <c r="B1753" s="2" t="s">
        <v>4449</v>
      </c>
      <c r="C1753" s="2" t="s">
        <v>59</v>
      </c>
      <c r="D1753" s="2" t="s">
        <v>18</v>
      </c>
      <c r="E1753" s="5">
        <v>-29460</v>
      </c>
      <c r="F1753" s="3" t="s">
        <v>1534</v>
      </c>
      <c r="G1753" s="3" t="s">
        <v>296</v>
      </c>
      <c r="H1753" s="2" t="s">
        <v>65</v>
      </c>
      <c r="I1753" s="2" t="s">
        <v>4457</v>
      </c>
      <c r="J1753" s="3" t="str">
        <f>HYPERLINK("https://www.boe.es/gazeta/dias/1819/05/04/pdfs/GMD-1819-53.pdf#page=4","Abrir facsímil")</f>
        <v>Abrir facsímil</v>
      </c>
      <c r="K1753" s="3" t="s">
        <v>67</v>
      </c>
    </row>
    <row r="1754" spans="1:11" ht="42" customHeight="1">
      <c r="A1754" s="2" t="s">
        <v>4449</v>
      </c>
      <c r="B1754" s="2" t="s">
        <v>4449</v>
      </c>
      <c r="C1754" s="2" t="s">
        <v>59</v>
      </c>
      <c r="D1754" s="2" t="s">
        <v>18</v>
      </c>
      <c r="E1754" s="5">
        <v>-29460</v>
      </c>
      <c r="F1754" s="3" t="s">
        <v>1534</v>
      </c>
      <c r="G1754" s="3" t="s">
        <v>55</v>
      </c>
      <c r="H1754" s="2" t="s">
        <v>65</v>
      </c>
      <c r="I1754" s="2" t="s">
        <v>4458</v>
      </c>
      <c r="J1754" s="3" t="str">
        <f>HYPERLINK("https://www.boe.es/gazeta/dias/1819/05/04/pdfs/GMD-1819-53.pdf#page=7","Abrir facsímil")</f>
        <v>Abrir facsímil</v>
      </c>
      <c r="K1754" s="3" t="s">
        <v>67</v>
      </c>
    </row>
    <row r="1755" spans="1:11" ht="42" customHeight="1">
      <c r="A1755" s="2" t="s">
        <v>4449</v>
      </c>
      <c r="B1755" s="2" t="s">
        <v>4449</v>
      </c>
      <c r="C1755" s="2" t="s">
        <v>63</v>
      </c>
      <c r="D1755" s="2" t="s">
        <v>43</v>
      </c>
      <c r="E1755" s="5">
        <v>-29446</v>
      </c>
      <c r="F1755" s="3" t="s">
        <v>773</v>
      </c>
      <c r="G1755" s="3" t="s">
        <v>776</v>
      </c>
      <c r="H1755" s="2" t="s">
        <v>65</v>
      </c>
      <c r="I1755" s="2" t="s">
        <v>4459</v>
      </c>
      <c r="J1755" s="3" t="str">
        <f>HYPERLINK("https://www.boe.es/gazeta/dias/1819/05/18/pdfs/GMD-1819-59.pdf#page=7","Abrir facsímil")</f>
        <v>Abrir facsímil</v>
      </c>
      <c r="K1755" s="3" t="s">
        <v>67</v>
      </c>
    </row>
    <row r="1756" spans="1:11" ht="42" customHeight="1">
      <c r="A1756" s="2" t="s">
        <v>4449</v>
      </c>
      <c r="B1756" s="2" t="s">
        <v>4449</v>
      </c>
      <c r="C1756" s="2" t="s">
        <v>246</v>
      </c>
      <c r="D1756" s="2" t="s">
        <v>18</v>
      </c>
      <c r="E1756" s="5">
        <v>-29444</v>
      </c>
      <c r="F1756" s="3" t="s">
        <v>258</v>
      </c>
      <c r="G1756" s="3" t="s">
        <v>239</v>
      </c>
      <c r="H1756" s="2" t="s">
        <v>65</v>
      </c>
      <c r="I1756" s="2" t="s">
        <v>4460</v>
      </c>
      <c r="J1756" s="3" t="str">
        <f>HYPERLINK("https://www.boe.es/gazeta/dias/1819/05/20/pdfs/GMD-1819-60.pdf#page=1","Abrir facsímil")</f>
        <v>Abrir facsímil</v>
      </c>
      <c r="K1756" s="3" t="s">
        <v>67</v>
      </c>
    </row>
    <row r="1757" spans="1:11" ht="42" customHeight="1">
      <c r="A1757" s="2" t="s">
        <v>4449</v>
      </c>
      <c r="B1757" s="2" t="s">
        <v>4449</v>
      </c>
      <c r="C1757" s="2" t="s">
        <v>26</v>
      </c>
      <c r="D1757" s="2" t="s">
        <v>18</v>
      </c>
      <c r="E1757" s="5">
        <v>-29444</v>
      </c>
      <c r="F1757" s="3" t="s">
        <v>258</v>
      </c>
      <c r="G1757" s="3" t="s">
        <v>55</v>
      </c>
      <c r="H1757" s="2" t="s">
        <v>65</v>
      </c>
      <c r="I1757" s="2" t="s">
        <v>4461</v>
      </c>
      <c r="J1757" s="3" t="str">
        <f>HYPERLINK("https://www.boe.es/gazeta/dias/1819/05/20/pdfs/GMD-1819-60.pdf#page=7","Abrir facsímil")</f>
        <v>Abrir facsímil</v>
      </c>
      <c r="K1757" s="3" t="s">
        <v>67</v>
      </c>
    </row>
    <row r="1758" spans="1:11" ht="42" customHeight="1">
      <c r="A1758" s="2" t="s">
        <v>4449</v>
      </c>
      <c r="B1758" s="2" t="s">
        <v>4449</v>
      </c>
      <c r="C1758" s="2" t="s">
        <v>80</v>
      </c>
      <c r="D1758" s="2" t="s">
        <v>81</v>
      </c>
      <c r="E1758" s="5">
        <v>-29430</v>
      </c>
      <c r="F1758" s="3" t="s">
        <v>178</v>
      </c>
      <c r="G1758" s="3" t="s">
        <v>33</v>
      </c>
      <c r="H1758" s="2" t="s">
        <v>65</v>
      </c>
      <c r="I1758" s="2" t="s">
        <v>4462</v>
      </c>
      <c r="J1758" s="3" t="str">
        <f>HYPERLINK("https://www.boe.es/gazeta/dias/1819/06/03/pdfs/GMD-1819-66.pdf#page=6","Abrir facsímil")</f>
        <v>Abrir facsímil</v>
      </c>
      <c r="K1758" s="3" t="s">
        <v>67</v>
      </c>
    </row>
    <row r="1759" spans="1:11" ht="42" customHeight="1">
      <c r="A1759" s="2" t="s">
        <v>4449</v>
      </c>
      <c r="B1759" s="2" t="s">
        <v>4449</v>
      </c>
      <c r="C1759" s="2" t="s">
        <v>63</v>
      </c>
      <c r="D1759" s="2" t="s">
        <v>43</v>
      </c>
      <c r="E1759" s="5">
        <v>-29428</v>
      </c>
      <c r="F1759" s="3" t="s">
        <v>730</v>
      </c>
      <c r="G1759" s="3" t="s">
        <v>38</v>
      </c>
      <c r="H1759" s="2" t="s">
        <v>65</v>
      </c>
      <c r="I1759" s="2" t="s">
        <v>4463</v>
      </c>
      <c r="J1759" s="3" t="str">
        <f>HYPERLINK("https://www.boe.es/gazeta/dias/1819/06/05/pdfs/GMD-1819-67.pdf#page=5","Abrir facsímil")</f>
        <v>Abrir facsímil</v>
      </c>
      <c r="K1759" s="3" t="s">
        <v>67</v>
      </c>
    </row>
    <row r="1760" spans="1:11" ht="42" customHeight="1">
      <c r="A1760" s="2" t="s">
        <v>4449</v>
      </c>
      <c r="B1760" s="2" t="s">
        <v>4449</v>
      </c>
      <c r="C1760" s="2" t="s">
        <v>59</v>
      </c>
      <c r="D1760" s="2" t="s">
        <v>454</v>
      </c>
      <c r="E1760" s="5">
        <v>-29419</v>
      </c>
      <c r="F1760" s="3" t="s">
        <v>1491</v>
      </c>
      <c r="G1760" s="3" t="s">
        <v>239</v>
      </c>
      <c r="H1760" s="2" t="s">
        <v>65</v>
      </c>
      <c r="I1760" s="2" t="s">
        <v>4464</v>
      </c>
      <c r="J1760" s="3" t="str">
        <f>HYPERLINK("https://www.boe.es/gazeta/dias/1819/06/14/pdfs/GMD-1819-71E.pdf#page=1","Abrir facsímil")</f>
        <v>Abrir facsímil</v>
      </c>
      <c r="K1760" s="3" t="s">
        <v>67</v>
      </c>
    </row>
    <row r="1761" spans="1:11" ht="42" customHeight="1">
      <c r="A1761" s="2" t="s">
        <v>4449</v>
      </c>
      <c r="B1761" s="2" t="s">
        <v>4449</v>
      </c>
      <c r="C1761" s="2" t="s">
        <v>59</v>
      </c>
      <c r="D1761" s="2" t="s">
        <v>454</v>
      </c>
      <c r="E1761" s="5">
        <v>-29419</v>
      </c>
      <c r="F1761" s="3" t="s">
        <v>1491</v>
      </c>
      <c r="G1761" s="3" t="s">
        <v>259</v>
      </c>
      <c r="H1761" s="2" t="s">
        <v>65</v>
      </c>
      <c r="I1761" s="2" t="s">
        <v>4465</v>
      </c>
      <c r="J1761" s="3" t="str">
        <f>HYPERLINK("https://www.boe.es/gazeta/dias/1819/06/14/pdfs/GMD-1819-71E.pdf#page=2","Abrir facsímil")</f>
        <v>Abrir facsímil</v>
      </c>
      <c r="K1761" s="3" t="s">
        <v>67</v>
      </c>
    </row>
    <row r="1762" spans="1:11" ht="42" customHeight="1">
      <c r="A1762" s="2" t="s">
        <v>4449</v>
      </c>
      <c r="B1762" s="2" t="s">
        <v>4449</v>
      </c>
      <c r="C1762" s="2" t="s">
        <v>59</v>
      </c>
      <c r="D1762" s="2" t="s">
        <v>454</v>
      </c>
      <c r="E1762" s="5">
        <v>-29419</v>
      </c>
      <c r="F1762" s="3" t="s">
        <v>1491</v>
      </c>
      <c r="G1762" s="3" t="s">
        <v>102</v>
      </c>
      <c r="H1762" s="2" t="s">
        <v>65</v>
      </c>
      <c r="I1762" s="2" t="s">
        <v>4466</v>
      </c>
      <c r="J1762" s="3" t="str">
        <f>HYPERLINK("https://www.boe.es/gazeta/dias/1819/06/14/pdfs/GMD-1819-71E.pdf#page=3","Abrir facsímil")</f>
        <v>Abrir facsímil</v>
      </c>
      <c r="K1762" s="3" t="s">
        <v>67</v>
      </c>
    </row>
    <row r="1763" spans="1:11" ht="42" customHeight="1">
      <c r="A1763" s="2" t="s">
        <v>4449</v>
      </c>
      <c r="B1763" s="2" t="s">
        <v>4449</v>
      </c>
      <c r="C1763" s="2" t="s">
        <v>26</v>
      </c>
      <c r="D1763" s="2" t="s">
        <v>18</v>
      </c>
      <c r="E1763" s="5">
        <v>-29388</v>
      </c>
      <c r="F1763" s="3" t="s">
        <v>879</v>
      </c>
      <c r="G1763" s="3" t="s">
        <v>28</v>
      </c>
      <c r="H1763" s="2" t="s">
        <v>65</v>
      </c>
      <c r="I1763" s="2" t="s">
        <v>4467</v>
      </c>
      <c r="J1763" s="3" t="str">
        <f>HYPERLINK("https://www.boe.es/gazeta/dias/1819/07/15/pdfs/GMD-1819-85.pdf#page=8","Abrir facsímil")</f>
        <v>Abrir facsímil</v>
      </c>
      <c r="K1763" s="3" t="s">
        <v>67</v>
      </c>
    </row>
    <row r="1764" spans="1:11" ht="42" customHeight="1">
      <c r="A1764" s="2" t="s">
        <v>4449</v>
      </c>
      <c r="B1764" s="2" t="s">
        <v>4449</v>
      </c>
      <c r="C1764" s="2" t="s">
        <v>80</v>
      </c>
      <c r="D1764" s="2" t="s">
        <v>81</v>
      </c>
      <c r="E1764" s="5">
        <v>-29381</v>
      </c>
      <c r="F1764" s="3" t="s">
        <v>736</v>
      </c>
      <c r="G1764" s="3" t="s">
        <v>296</v>
      </c>
      <c r="H1764" s="2" t="s">
        <v>65</v>
      </c>
      <c r="I1764" s="2" t="s">
        <v>4468</v>
      </c>
      <c r="J1764" s="3" t="str">
        <f>HYPERLINK("https://www.boe.es/gazeta/dias/1819/07/22/pdfs/GMD-1819-88.pdf#page=4","Abrir facsímil")</f>
        <v>Abrir facsímil</v>
      </c>
      <c r="K1764" s="3" t="s">
        <v>67</v>
      </c>
    </row>
    <row r="1765" spans="1:11" ht="42" customHeight="1">
      <c r="A1765" s="2" t="s">
        <v>4449</v>
      </c>
      <c r="B1765" s="2" t="s">
        <v>4449</v>
      </c>
      <c r="C1765" s="2" t="s">
        <v>59</v>
      </c>
      <c r="D1765" s="2" t="s">
        <v>18</v>
      </c>
      <c r="E1765" s="5">
        <v>-29381</v>
      </c>
      <c r="F1765" s="3" t="s">
        <v>736</v>
      </c>
      <c r="G1765" s="3" t="s">
        <v>38</v>
      </c>
      <c r="H1765" s="2" t="s">
        <v>65</v>
      </c>
      <c r="I1765" s="2" t="s">
        <v>4469</v>
      </c>
      <c r="J1765" s="3" t="str">
        <f>HYPERLINK("https://www.boe.es/gazeta/dias/1819/07/22/pdfs/GMD-1819-88.pdf#page=5","Abrir facsímil")</f>
        <v>Abrir facsímil</v>
      </c>
      <c r="K1765" s="3" t="s">
        <v>67</v>
      </c>
    </row>
    <row r="1766" spans="1:11" ht="42" customHeight="1">
      <c r="A1766" s="2" t="s">
        <v>4449</v>
      </c>
      <c r="B1766" s="2" t="s">
        <v>4449</v>
      </c>
      <c r="C1766" s="2" t="s">
        <v>63</v>
      </c>
      <c r="D1766" s="2" t="s">
        <v>43</v>
      </c>
      <c r="E1766" s="5">
        <v>-29376</v>
      </c>
      <c r="F1766" s="3" t="s">
        <v>332</v>
      </c>
      <c r="G1766" s="3" t="s">
        <v>33</v>
      </c>
      <c r="H1766" s="2" t="s">
        <v>65</v>
      </c>
      <c r="I1766" s="2" t="s">
        <v>4470</v>
      </c>
      <c r="J1766" s="3" t="str">
        <f>HYPERLINK("https://www.boe.es/gazeta/dias/1819/07/27/pdfs/GMD-1819-90.pdf#page=6","Abrir facsímil")</f>
        <v>Abrir facsímil</v>
      </c>
      <c r="K1766" s="3" t="s">
        <v>67</v>
      </c>
    </row>
    <row r="1767" spans="1:11" ht="42" customHeight="1">
      <c r="A1767" s="2" t="s">
        <v>4449</v>
      </c>
      <c r="B1767" s="2" t="s">
        <v>4449</v>
      </c>
      <c r="C1767" s="2" t="s">
        <v>59</v>
      </c>
      <c r="D1767" s="2" t="s">
        <v>18</v>
      </c>
      <c r="E1767" s="5">
        <v>-29367</v>
      </c>
      <c r="F1767" s="3" t="s">
        <v>571</v>
      </c>
      <c r="G1767" s="3" t="s">
        <v>55</v>
      </c>
      <c r="H1767" s="2" t="s">
        <v>65</v>
      </c>
      <c r="I1767" s="2" t="s">
        <v>4471</v>
      </c>
      <c r="J1767" s="3" t="str">
        <f>HYPERLINK("https://www.boe.es/gazeta/dias/1819/08/05/pdfs/GMD-1819-94.pdf#page=7","Abrir facsímil")</f>
        <v>Abrir facsímil</v>
      </c>
      <c r="K1767" s="3" t="s">
        <v>67</v>
      </c>
    </row>
    <row r="1768" spans="1:11" ht="42" customHeight="1">
      <c r="A1768" s="2" t="s">
        <v>4449</v>
      </c>
      <c r="B1768" s="2" t="s">
        <v>4449</v>
      </c>
      <c r="C1768" s="2" t="s">
        <v>80</v>
      </c>
      <c r="D1768" s="2" t="s">
        <v>81</v>
      </c>
      <c r="E1768" s="5">
        <v>-29365</v>
      </c>
      <c r="F1768" s="3" t="s">
        <v>218</v>
      </c>
      <c r="G1768" s="3" t="s">
        <v>953</v>
      </c>
      <c r="H1768" s="2" t="s">
        <v>65</v>
      </c>
      <c r="I1768" s="2" t="s">
        <v>4472</v>
      </c>
      <c r="J1768" s="3" t="str">
        <f>HYPERLINK("https://www.boe.es/gazeta/dias/1819/08/07/pdfs/GMD-1819-95.pdf#page=7","Abrir facsímil")</f>
        <v>Abrir facsímil</v>
      </c>
      <c r="K1768" s="3" t="s">
        <v>67</v>
      </c>
    </row>
    <row r="1769" spans="1:11" ht="42" customHeight="1">
      <c r="A1769" s="2" t="s">
        <v>4449</v>
      </c>
      <c r="B1769" s="2" t="s">
        <v>4449</v>
      </c>
      <c r="C1769" s="2" t="s">
        <v>59</v>
      </c>
      <c r="D1769" s="2" t="s">
        <v>18</v>
      </c>
      <c r="E1769" s="5">
        <v>-29365</v>
      </c>
      <c r="F1769" s="3" t="s">
        <v>218</v>
      </c>
      <c r="G1769" s="3" t="s">
        <v>38</v>
      </c>
      <c r="H1769" s="2" t="s">
        <v>65</v>
      </c>
      <c r="I1769" s="2" t="s">
        <v>4473</v>
      </c>
      <c r="J1769" s="3" t="str">
        <f>HYPERLINK("https://www.boe.es/gazeta/dias/1819/08/07/pdfs/GMD-1819-95.pdf#page=5","Abrir facsímil")</f>
        <v>Abrir facsímil</v>
      </c>
      <c r="K1769" s="3" t="s">
        <v>67</v>
      </c>
    </row>
    <row r="1770" spans="1:11" ht="42" customHeight="1">
      <c r="A1770" s="2" t="s">
        <v>4449</v>
      </c>
      <c r="B1770" s="2" t="s">
        <v>4449</v>
      </c>
      <c r="C1770" s="2" t="s">
        <v>59</v>
      </c>
      <c r="D1770" s="2" t="s">
        <v>18</v>
      </c>
      <c r="E1770" s="5">
        <v>-29353</v>
      </c>
      <c r="F1770" s="3" t="s">
        <v>867</v>
      </c>
      <c r="G1770" s="3" t="s">
        <v>4474</v>
      </c>
      <c r="H1770" s="2" t="s">
        <v>65</v>
      </c>
      <c r="I1770" s="2" t="s">
        <v>4475</v>
      </c>
      <c r="J1770" s="3" t="str">
        <f>HYPERLINK("https://www.boe.es/gazeta/dias/1819/08/19/pdfs/GMD-1819-100.pdf#page=6","Abrir facsímil")</f>
        <v>Abrir facsímil</v>
      </c>
      <c r="K1770" s="3" t="s">
        <v>67</v>
      </c>
    </row>
    <row r="1771" spans="1:11" ht="42" customHeight="1">
      <c r="A1771" s="2" t="s">
        <v>4449</v>
      </c>
      <c r="B1771" s="2" t="s">
        <v>4449</v>
      </c>
      <c r="C1771" s="2" t="s">
        <v>80</v>
      </c>
      <c r="D1771" s="2" t="s">
        <v>81</v>
      </c>
      <c r="E1771" s="5">
        <v>-29337</v>
      </c>
      <c r="F1771" s="3" t="s">
        <v>1098</v>
      </c>
      <c r="G1771" s="3" t="s">
        <v>28</v>
      </c>
      <c r="H1771" s="2" t="s">
        <v>65</v>
      </c>
      <c r="I1771" s="2" t="s">
        <v>4476</v>
      </c>
      <c r="J1771" s="3" t="str">
        <f>HYPERLINK("https://www.boe.es/gazeta/dias/1819/09/04/pdfs/GMD-1819-108.pdf#page=8","Abrir facsímil")</f>
        <v>Abrir facsímil</v>
      </c>
      <c r="K1771" s="3" t="s">
        <v>67</v>
      </c>
    </row>
    <row r="1772" spans="1:11" ht="42" customHeight="1">
      <c r="A1772" s="2" t="s">
        <v>4449</v>
      </c>
      <c r="B1772" s="2" t="s">
        <v>4449</v>
      </c>
      <c r="C1772" s="2" t="s">
        <v>59</v>
      </c>
      <c r="D1772" s="2" t="s">
        <v>18</v>
      </c>
      <c r="E1772" s="5">
        <v>-29323</v>
      </c>
      <c r="F1772" s="3" t="s">
        <v>270</v>
      </c>
      <c r="G1772" s="3" t="s">
        <v>38</v>
      </c>
      <c r="H1772" s="2" t="s">
        <v>65</v>
      </c>
      <c r="I1772" s="2" t="s">
        <v>4477</v>
      </c>
      <c r="J1772" s="3" t="str">
        <f>HYPERLINK("https://www.boe.es/gazeta/dias/1819/09/18/pdfs/GMD-1819-115.pdf#page=5","Abrir facsímil")</f>
        <v>Abrir facsímil</v>
      </c>
      <c r="K1772" s="3" t="s">
        <v>67</v>
      </c>
    </row>
    <row r="1773" spans="1:11" ht="42" customHeight="1">
      <c r="A1773" s="2" t="s">
        <v>4449</v>
      </c>
      <c r="B1773" s="2" t="s">
        <v>4449</v>
      </c>
      <c r="C1773" s="2" t="s">
        <v>17</v>
      </c>
      <c r="D1773" s="2" t="s">
        <v>18</v>
      </c>
      <c r="E1773" s="5">
        <v>-29306</v>
      </c>
      <c r="F1773" s="3" t="s">
        <v>303</v>
      </c>
      <c r="G1773" s="3" t="s">
        <v>4478</v>
      </c>
      <c r="H1773" s="2" t="s">
        <v>65</v>
      </c>
      <c r="I1773" s="2" t="s">
        <v>4479</v>
      </c>
      <c r="J1773" s="3" t="str">
        <f>HYPERLINK("https://www.boe.es/gazeta/dias/1819/10/05/pdfs/GMD-1819-122.pdf#page=6","Abrir facsímil")</f>
        <v>Abrir facsímil</v>
      </c>
      <c r="K1773" s="3" t="s">
        <v>67</v>
      </c>
    </row>
    <row r="1774" spans="1:11" ht="42" customHeight="1">
      <c r="A1774" s="2" t="s">
        <v>4449</v>
      </c>
      <c r="B1774" s="2" t="s">
        <v>4449</v>
      </c>
      <c r="C1774" s="2" t="s">
        <v>59</v>
      </c>
      <c r="D1774" s="2" t="s">
        <v>18</v>
      </c>
      <c r="E1774" s="5">
        <v>-29297</v>
      </c>
      <c r="F1774" s="3" t="s">
        <v>82</v>
      </c>
      <c r="G1774" s="3" t="s">
        <v>38</v>
      </c>
      <c r="H1774" s="2" t="s">
        <v>65</v>
      </c>
      <c r="I1774" s="2" t="s">
        <v>4480</v>
      </c>
      <c r="J1774" s="3" t="str">
        <f>HYPERLINK("https://www.boe.es/gazeta/dias/1819/10/14/pdfs/GMD-1819-126.pdf#page=5","Abrir facsímil")</f>
        <v>Abrir facsímil</v>
      </c>
      <c r="K1774" s="3" t="s">
        <v>67</v>
      </c>
    </row>
    <row r="1775" spans="1:11" ht="42" customHeight="1">
      <c r="A1775" s="2" t="s">
        <v>4449</v>
      </c>
      <c r="B1775" s="2" t="s">
        <v>4449</v>
      </c>
      <c r="C1775" s="2" t="s">
        <v>59</v>
      </c>
      <c r="D1775" s="2" t="s">
        <v>18</v>
      </c>
      <c r="E1775" s="5">
        <v>-29290</v>
      </c>
      <c r="F1775" s="3" t="s">
        <v>622</v>
      </c>
      <c r="G1775" s="3" t="s">
        <v>33</v>
      </c>
      <c r="H1775" s="2" t="s">
        <v>65</v>
      </c>
      <c r="I1775" s="2" t="s">
        <v>4481</v>
      </c>
      <c r="J1775" s="3" t="str">
        <f>HYPERLINK("https://www.boe.es/gazeta/dias/1819/10/21/pdfs/GMD-1819-129.pdf#page=6","Abrir facsímil")</f>
        <v>Abrir facsímil</v>
      </c>
      <c r="K1775" s="3" t="s">
        <v>67</v>
      </c>
    </row>
    <row r="1776" spans="1:11" ht="42" customHeight="1">
      <c r="A1776" s="2" t="s">
        <v>4449</v>
      </c>
      <c r="B1776" s="2" t="s">
        <v>4449</v>
      </c>
      <c r="C1776" s="2" t="s">
        <v>80</v>
      </c>
      <c r="D1776" s="2" t="s">
        <v>454</v>
      </c>
      <c r="E1776" s="5">
        <v>-29287</v>
      </c>
      <c r="F1776" s="3" t="s">
        <v>455</v>
      </c>
      <c r="G1776" s="3" t="s">
        <v>1113</v>
      </c>
      <c r="H1776" s="2" t="s">
        <v>65</v>
      </c>
      <c r="I1776" s="2" t="s">
        <v>4482</v>
      </c>
      <c r="J1776" s="3" t="str">
        <f>HYPERLINK("https://www.boe.es/gazeta/dias/1819/10/24/pdfs/GMD-1819-131E.pdf#page=7","Abrir facsímil")</f>
        <v>Abrir facsímil</v>
      </c>
      <c r="K1776" s="3" t="s">
        <v>67</v>
      </c>
    </row>
    <row r="1777" spans="1:11" ht="42" customHeight="1">
      <c r="A1777" s="2" t="s">
        <v>4449</v>
      </c>
      <c r="B1777" s="2" t="s">
        <v>4449</v>
      </c>
      <c r="C1777" s="2" t="s">
        <v>26</v>
      </c>
      <c r="D1777" s="2" t="s">
        <v>18</v>
      </c>
      <c r="E1777" s="5">
        <v>-29267</v>
      </c>
      <c r="F1777" s="3" t="s">
        <v>370</v>
      </c>
      <c r="G1777" s="3" t="s">
        <v>38</v>
      </c>
      <c r="H1777" s="2" t="s">
        <v>65</v>
      </c>
      <c r="I1777" s="2" t="s">
        <v>4483</v>
      </c>
      <c r="J1777" s="3" t="str">
        <f>HYPERLINK("https://www.boe.es/gazeta/dias/1819/11/13/pdfs/GMD-1819-140.pdf#page=5","Abrir facsímil")</f>
        <v>Abrir facsímil</v>
      </c>
      <c r="K1777" s="3" t="s">
        <v>67</v>
      </c>
    </row>
    <row r="1778" spans="1:11" ht="42" customHeight="1">
      <c r="A1778" s="2" t="s">
        <v>4449</v>
      </c>
      <c r="B1778" s="2" t="s">
        <v>4449</v>
      </c>
      <c r="C1778" s="2" t="s">
        <v>59</v>
      </c>
      <c r="D1778" s="2" t="s">
        <v>18</v>
      </c>
      <c r="E1778" s="5">
        <v>-29267</v>
      </c>
      <c r="F1778" s="3" t="s">
        <v>370</v>
      </c>
      <c r="G1778" s="3" t="s">
        <v>33</v>
      </c>
      <c r="H1778" s="2" t="s">
        <v>65</v>
      </c>
      <c r="I1778" s="2" t="s">
        <v>4484</v>
      </c>
      <c r="J1778" s="3" t="str">
        <f>HYPERLINK("https://www.boe.es/gazeta/dias/1819/11/13/pdfs/GMD-1819-140.pdf#page=6","Abrir facsímil")</f>
        <v>Abrir facsímil</v>
      </c>
      <c r="K1778" s="3" t="s">
        <v>67</v>
      </c>
    </row>
    <row r="1779" spans="1:11" ht="42" customHeight="1">
      <c r="A1779" s="2" t="s">
        <v>4449</v>
      </c>
      <c r="B1779" s="2" t="s">
        <v>4449</v>
      </c>
      <c r="C1779" s="2" t="s">
        <v>59</v>
      </c>
      <c r="D1779" s="2" t="s">
        <v>18</v>
      </c>
      <c r="E1779" s="5">
        <v>-29267</v>
      </c>
      <c r="F1779" s="3" t="s">
        <v>370</v>
      </c>
      <c r="G1779" s="3" t="s">
        <v>28</v>
      </c>
      <c r="H1779" s="2" t="s">
        <v>65</v>
      </c>
      <c r="I1779" s="2" t="s">
        <v>4485</v>
      </c>
      <c r="J1779" s="3" t="str">
        <f>HYPERLINK("https://www.boe.es/gazeta/dias/1819/11/13/pdfs/GMD-1819-140.pdf#page=8","Abrir facsímil")</f>
        <v>Abrir facsímil</v>
      </c>
      <c r="K1779" s="3" t="s">
        <v>67</v>
      </c>
    </row>
    <row r="1780" spans="1:11" ht="42" customHeight="1">
      <c r="A1780" s="2" t="s">
        <v>4449</v>
      </c>
      <c r="B1780" s="2" t="s">
        <v>4449</v>
      </c>
      <c r="C1780" s="2" t="s">
        <v>59</v>
      </c>
      <c r="D1780" s="2" t="s">
        <v>18</v>
      </c>
      <c r="E1780" s="5">
        <v>-29236</v>
      </c>
      <c r="F1780" s="3" t="s">
        <v>379</v>
      </c>
      <c r="G1780" s="3" t="s">
        <v>55</v>
      </c>
      <c r="H1780" s="2" t="s">
        <v>65</v>
      </c>
      <c r="I1780" s="2" t="s">
        <v>4486</v>
      </c>
      <c r="J1780" s="3" t="str">
        <f>HYPERLINK("https://www.boe.es/gazeta/dias/1819/12/14/pdfs/GMD-1819-153.pdf#page=7","Abrir facsímil")</f>
        <v>Abrir facsímil</v>
      </c>
      <c r="K1780" s="3" t="s">
        <v>67</v>
      </c>
    </row>
    <row r="1781" spans="1:11" ht="42" customHeight="1">
      <c r="A1781" s="2" t="s">
        <v>4487</v>
      </c>
      <c r="B1781" s="2" t="s">
        <v>4488</v>
      </c>
      <c r="C1781" s="2" t="s">
        <v>59</v>
      </c>
      <c r="D1781" s="2" t="s">
        <v>18</v>
      </c>
      <c r="E1781" s="5">
        <v>-29358</v>
      </c>
      <c r="F1781" s="3" t="s">
        <v>170</v>
      </c>
      <c r="G1781" s="3" t="s">
        <v>38</v>
      </c>
      <c r="H1781" s="2" t="s">
        <v>65</v>
      </c>
      <c r="I1781" s="2" t="s">
        <v>4489</v>
      </c>
      <c r="J1781" s="3" t="str">
        <f>HYPERLINK("https://www.boe.es/gazeta/dias/1819/08/14/pdfs/GMD-1819-98.pdf#page=5","Abrir facsímil")</f>
        <v>Abrir facsímil</v>
      </c>
      <c r="K1781" s="3" t="s">
        <v>67</v>
      </c>
    </row>
    <row r="1782" spans="1:11" ht="42" customHeight="1">
      <c r="A1782" s="2" t="s">
        <v>4490</v>
      </c>
      <c r="B1782" s="2" t="s">
        <v>4491</v>
      </c>
      <c r="C1782" s="2" t="s">
        <v>26</v>
      </c>
      <c r="D1782" s="2" t="s">
        <v>18</v>
      </c>
      <c r="E1782" s="5">
        <v>-29241</v>
      </c>
      <c r="F1782" s="3" t="s">
        <v>1382</v>
      </c>
      <c r="G1782" s="3" t="s">
        <v>33</v>
      </c>
      <c r="H1782" s="2" t="s">
        <v>65</v>
      </c>
      <c r="I1782" s="2" t="s">
        <v>4492</v>
      </c>
      <c r="J1782" s="3" t="str">
        <f>HYPERLINK("https://www.boe.es/gazeta/dias/1819/12/09/pdfs/GMD-1819-151.pdf#page=6","Abrir facsímil")</f>
        <v>Abrir facsímil</v>
      </c>
      <c r="K1782" s="3" t="s">
        <v>67</v>
      </c>
    </row>
    <row r="1783" spans="1:11" ht="42" customHeight="1">
      <c r="A1783" s="2" t="s">
        <v>4493</v>
      </c>
      <c r="B1783" s="2" t="s">
        <v>4493</v>
      </c>
      <c r="C1783" s="2" t="s">
        <v>80</v>
      </c>
      <c r="D1783" s="2" t="s">
        <v>81</v>
      </c>
      <c r="E1783" s="5">
        <v>-29274</v>
      </c>
      <c r="F1783" s="3" t="s">
        <v>247</v>
      </c>
      <c r="G1783" s="3" t="s">
        <v>55</v>
      </c>
      <c r="H1783" s="2" t="s">
        <v>65</v>
      </c>
      <c r="I1783" s="2" t="s">
        <v>4494</v>
      </c>
      <c r="J1783" s="3" t="str">
        <f>HYPERLINK("https://www.boe.es/gazeta/dias/1819/11/06/pdfs/GMD-1819-137.pdf#page=7","Abrir facsímil")</f>
        <v>Abrir facsímil</v>
      </c>
      <c r="K1783" s="3" t="s">
        <v>67</v>
      </c>
    </row>
    <row r="1784" spans="1:11" ht="42" customHeight="1">
      <c r="A1784" s="2" t="s">
        <v>4493</v>
      </c>
      <c r="B1784" s="2" t="s">
        <v>4493</v>
      </c>
      <c r="C1784" s="2" t="s">
        <v>80</v>
      </c>
      <c r="D1784" s="2" t="s">
        <v>81</v>
      </c>
      <c r="E1784" s="5">
        <v>-29262</v>
      </c>
      <c r="F1784" s="3" t="s">
        <v>1428</v>
      </c>
      <c r="G1784" s="3" t="s">
        <v>33</v>
      </c>
      <c r="H1784" s="2" t="s">
        <v>65</v>
      </c>
      <c r="I1784" s="2" t="s">
        <v>4495</v>
      </c>
      <c r="J1784" s="3" t="str">
        <f>HYPERLINK("https://www.boe.es/gazeta/dias/1819/11/18/pdfs/GMD-1819-142.pdf#page=6","Abrir facsímil")</f>
        <v>Abrir facsímil</v>
      </c>
      <c r="K1784" s="3" t="s">
        <v>67</v>
      </c>
    </row>
    <row r="1785" spans="1:11" ht="42" customHeight="1">
      <c r="A1785" s="2" t="s">
        <v>4496</v>
      </c>
      <c r="B1785" s="2" t="s">
        <v>4496</v>
      </c>
      <c r="C1785" s="2" t="s">
        <v>80</v>
      </c>
      <c r="D1785" s="2" t="s">
        <v>454</v>
      </c>
      <c r="E1785" s="5">
        <v>-29324</v>
      </c>
      <c r="F1785" s="3" t="s">
        <v>914</v>
      </c>
      <c r="G1785" s="3" t="s">
        <v>259</v>
      </c>
      <c r="H1785" s="2" t="s">
        <v>65</v>
      </c>
      <c r="I1785" s="2" t="s">
        <v>4497</v>
      </c>
      <c r="J1785" s="3" t="str">
        <f>HYPERLINK("https://www.boe.es/gazeta/dias/1819/09/17/pdfs/GMD-1819-114E.pdf#page=2","Abrir facsímil")</f>
        <v>Abrir facsímil</v>
      </c>
      <c r="K1785" s="3" t="s">
        <v>67</v>
      </c>
    </row>
    <row r="1786" spans="1:11" ht="42" customHeight="1">
      <c r="A1786" s="2" t="s">
        <v>4498</v>
      </c>
      <c r="B1786" s="2" t="s">
        <v>4498</v>
      </c>
      <c r="C1786" s="2" t="s">
        <v>59</v>
      </c>
      <c r="D1786" s="2" t="s">
        <v>18</v>
      </c>
      <c r="E1786" s="5">
        <v>-29430</v>
      </c>
      <c r="F1786" s="3" t="s">
        <v>178</v>
      </c>
      <c r="G1786" s="3" t="s">
        <v>28</v>
      </c>
      <c r="H1786" s="2" t="s">
        <v>65</v>
      </c>
      <c r="I1786" s="2" t="s">
        <v>4499</v>
      </c>
      <c r="J1786" s="3" t="str">
        <f>HYPERLINK("https://www.boe.es/gazeta/dias/1819/06/03/pdfs/GMD-1819-66.pdf#page=8","Abrir facsímil")</f>
        <v>Abrir facsímil</v>
      </c>
      <c r="K1786" s="3" t="s">
        <v>67</v>
      </c>
    </row>
    <row r="1787" spans="1:11" ht="42" customHeight="1">
      <c r="A1787" s="2" t="s">
        <v>4500</v>
      </c>
      <c r="B1787" s="2" t="s">
        <v>4500</v>
      </c>
      <c r="C1787" s="2" t="s">
        <v>63</v>
      </c>
      <c r="D1787" s="2" t="s">
        <v>43</v>
      </c>
      <c r="E1787" s="5">
        <v>-29570</v>
      </c>
      <c r="F1787" s="3" t="s">
        <v>2008</v>
      </c>
      <c r="G1787" s="3" t="s">
        <v>38</v>
      </c>
      <c r="H1787" s="2" t="s">
        <v>65</v>
      </c>
      <c r="I1787" s="2" t="s">
        <v>4501</v>
      </c>
      <c r="J1787" s="3" t="str">
        <f>HYPERLINK("https://www.boe.es/gazeta/dias/1819/01/14/pdfs/GMD-1819-6.pdf#page=5","Abrir facsímil")</f>
        <v>Abrir facsímil</v>
      </c>
      <c r="K1787" s="3" t="s">
        <v>67</v>
      </c>
    </row>
    <row r="1788" spans="1:11" ht="42" customHeight="1">
      <c r="A1788" s="2" t="s">
        <v>4502</v>
      </c>
      <c r="B1788" s="2" t="s">
        <v>4502</v>
      </c>
      <c r="C1788" s="2" t="s">
        <v>215</v>
      </c>
      <c r="D1788" s="2" t="s">
        <v>18</v>
      </c>
      <c r="E1788" s="5">
        <v>-29248</v>
      </c>
      <c r="F1788" s="3" t="s">
        <v>395</v>
      </c>
      <c r="G1788" s="3" t="s">
        <v>28</v>
      </c>
      <c r="H1788" s="2" t="s">
        <v>65</v>
      </c>
      <c r="I1788" s="2" t="s">
        <v>4503</v>
      </c>
      <c r="J1788" s="3" t="str">
        <f>HYPERLINK("https://www.boe.es/gazeta/dias/1819/12/02/pdfs/GMD-1819-148.pdf#page=8","Abrir facsímil")</f>
        <v>Abrir facsímil</v>
      </c>
      <c r="K1788" s="3" t="s">
        <v>67</v>
      </c>
    </row>
    <row r="1789" spans="1:11" ht="42" customHeight="1">
      <c r="A1789" s="2" t="s">
        <v>4504</v>
      </c>
      <c r="B1789" s="2" t="s">
        <v>4505</v>
      </c>
      <c r="C1789" s="2" t="s">
        <v>80</v>
      </c>
      <c r="D1789" s="2" t="s">
        <v>454</v>
      </c>
      <c r="E1789" s="5">
        <v>-29287</v>
      </c>
      <c r="F1789" s="3" t="s">
        <v>455</v>
      </c>
      <c r="G1789" s="3" t="s">
        <v>456</v>
      </c>
      <c r="H1789" s="2" t="s">
        <v>65</v>
      </c>
      <c r="I1789" s="2" t="s">
        <v>4506</v>
      </c>
      <c r="J1789" s="3" t="str">
        <f>HYPERLINK("https://www.boe.es/gazeta/dias/1819/10/24/pdfs/GMD-1819-131E.pdf#page=9","Abrir facsímil")</f>
        <v>Abrir facsímil</v>
      </c>
      <c r="K1789" s="3" t="s">
        <v>67</v>
      </c>
    </row>
    <row r="1790" spans="1:11" ht="42" customHeight="1">
      <c r="A1790" s="2" t="s">
        <v>4507</v>
      </c>
      <c r="B1790" s="2" t="s">
        <v>4508</v>
      </c>
      <c r="C1790" s="2" t="s">
        <v>80</v>
      </c>
      <c r="D1790" s="2" t="s">
        <v>81</v>
      </c>
      <c r="E1790" s="5">
        <v>-29488</v>
      </c>
      <c r="F1790" s="3" t="s">
        <v>27</v>
      </c>
      <c r="G1790" s="3" t="s">
        <v>55</v>
      </c>
      <c r="H1790" s="2" t="s">
        <v>65</v>
      </c>
      <c r="I1790" s="2" t="s">
        <v>4509</v>
      </c>
      <c r="J1790" s="3" t="str">
        <f>HYPERLINK("https://www.boe.es/gazeta/dias/1819/04/06/pdfs/GMD-1819-41.pdf#page=7","Abrir facsímil")</f>
        <v>Abrir facsímil</v>
      </c>
      <c r="K1790" s="3" t="s">
        <v>67</v>
      </c>
    </row>
    <row r="1791" spans="1:11" ht="42" customHeight="1">
      <c r="A1791" s="2" t="s">
        <v>4510</v>
      </c>
      <c r="B1791" s="2" t="s">
        <v>4511</v>
      </c>
      <c r="C1791" s="2" t="s">
        <v>136</v>
      </c>
      <c r="D1791" s="2" t="s">
        <v>18</v>
      </c>
      <c r="E1791" s="5">
        <v>-29505</v>
      </c>
      <c r="F1791" s="3" t="s">
        <v>597</v>
      </c>
      <c r="G1791" s="3" t="s">
        <v>38</v>
      </c>
      <c r="H1791" s="2" t="s">
        <v>65</v>
      </c>
      <c r="I1791" s="2" t="s">
        <v>4512</v>
      </c>
      <c r="J1791" s="3" t="str">
        <f>HYPERLINK("https://www.boe.es/gazeta/dias/1819/03/20/pdfs/GMD-1819-34.pdf#page=5","Abrir facsímil")</f>
        <v>Abrir facsímil</v>
      </c>
      <c r="K1791" s="3" t="s">
        <v>67</v>
      </c>
    </row>
    <row r="1792" spans="1:11" ht="42" customHeight="1">
      <c r="A1792" s="2" t="s">
        <v>4510</v>
      </c>
      <c r="B1792" s="2" t="s">
        <v>4511</v>
      </c>
      <c r="C1792" s="2" t="s">
        <v>26</v>
      </c>
      <c r="D1792" s="2" t="s">
        <v>18</v>
      </c>
      <c r="E1792" s="5">
        <v>-29491</v>
      </c>
      <c r="F1792" s="3" t="s">
        <v>1604</v>
      </c>
      <c r="G1792" s="3" t="s">
        <v>28</v>
      </c>
      <c r="H1792" s="2" t="s">
        <v>65</v>
      </c>
      <c r="I1792" s="2" t="s">
        <v>4513</v>
      </c>
      <c r="J1792" s="3" t="str">
        <f>HYPERLINK("https://www.boe.es/gazeta/dias/1819/04/03/pdfs/GMD-1819-40.pdf#page=8","Abrir facsímil")</f>
        <v>Abrir facsímil</v>
      </c>
      <c r="K1792" s="3" t="s">
        <v>67</v>
      </c>
    </row>
    <row r="1793" spans="1:11" ht="42" customHeight="1">
      <c r="A1793" s="2" t="s">
        <v>4514</v>
      </c>
      <c r="B1793" s="2" t="s">
        <v>4515</v>
      </c>
      <c r="C1793" s="2" t="s">
        <v>136</v>
      </c>
      <c r="D1793" s="2" t="s">
        <v>18</v>
      </c>
      <c r="E1793" s="5">
        <v>-29521</v>
      </c>
      <c r="F1793" s="3" t="s">
        <v>1002</v>
      </c>
      <c r="G1793" s="3" t="s">
        <v>28</v>
      </c>
      <c r="H1793" s="2" t="s">
        <v>65</v>
      </c>
      <c r="I1793" s="2" t="s">
        <v>4516</v>
      </c>
      <c r="J1793" s="3" t="str">
        <f>HYPERLINK("https://www.boe.es/gazeta/dias/1819/03/04/pdfs/GMD-1819-27.pdf#page=8","Abrir facsímil")</f>
        <v>Abrir facsímil</v>
      </c>
      <c r="K1793" s="3" t="s">
        <v>67</v>
      </c>
    </row>
    <row r="1794" spans="1:11" ht="42" customHeight="1">
      <c r="A1794" s="2" t="s">
        <v>4517</v>
      </c>
      <c r="B1794" s="2" t="s">
        <v>4518</v>
      </c>
      <c r="C1794" s="2" t="s">
        <v>80</v>
      </c>
      <c r="D1794" s="2" t="s">
        <v>81</v>
      </c>
      <c r="E1794" s="5">
        <v>-29472</v>
      </c>
      <c r="F1794" s="3" t="s">
        <v>393</v>
      </c>
      <c r="G1794" s="3" t="s">
        <v>28</v>
      </c>
      <c r="H1794" s="2" t="s">
        <v>65</v>
      </c>
      <c r="I1794" s="2" t="s">
        <v>4519</v>
      </c>
      <c r="J1794" s="3" t="str">
        <f>HYPERLINK("https://www.boe.es/gazeta/dias/1819/04/22/pdfs/GMD-1819-48.pdf#page=8","Abrir facsímil")</f>
        <v>Abrir facsímil</v>
      </c>
      <c r="K1794" s="3" t="s">
        <v>67</v>
      </c>
    </row>
    <row r="1795" spans="1:11" ht="42" customHeight="1">
      <c r="A1795" s="2" t="s">
        <v>4520</v>
      </c>
      <c r="B1795" s="2" t="s">
        <v>4520</v>
      </c>
      <c r="C1795" s="2" t="s">
        <v>59</v>
      </c>
      <c r="D1795" s="2" t="s">
        <v>18</v>
      </c>
      <c r="E1795" s="5">
        <v>-29526</v>
      </c>
      <c r="F1795" s="3" t="s">
        <v>307</v>
      </c>
      <c r="G1795" s="3" t="s">
        <v>55</v>
      </c>
      <c r="H1795" s="2" t="s">
        <v>65</v>
      </c>
      <c r="I1795" s="2" t="s">
        <v>4521</v>
      </c>
      <c r="J1795" s="3" t="str">
        <f>HYPERLINK("https://www.boe.es/gazeta/dias/1819/02/27/pdfs/GMD-1819-25.pdf#page=7","Abrir facsímil")</f>
        <v>Abrir facsímil</v>
      </c>
      <c r="K1795" s="3" t="s">
        <v>67</v>
      </c>
    </row>
    <row r="1796" spans="1:11" ht="42" customHeight="1">
      <c r="A1796" s="2" t="s">
        <v>4520</v>
      </c>
      <c r="B1796" s="2" t="s">
        <v>4520</v>
      </c>
      <c r="C1796" s="2" t="s">
        <v>59</v>
      </c>
      <c r="D1796" s="2" t="s">
        <v>18</v>
      </c>
      <c r="E1796" s="5">
        <v>-29516</v>
      </c>
      <c r="F1796" s="3" t="s">
        <v>137</v>
      </c>
      <c r="G1796" s="3" t="s">
        <v>94</v>
      </c>
      <c r="H1796" s="2" t="s">
        <v>65</v>
      </c>
      <c r="I1796" s="2" t="s">
        <v>4522</v>
      </c>
      <c r="J1796" s="3" t="str">
        <f>HYPERLINK("https://www.boe.es/gazeta/dias/1819/03/09/pdfs/GMD-1819-29.pdf#page=11","Abrir facsímil")</f>
        <v>Abrir facsímil</v>
      </c>
      <c r="K1796" s="3" t="s">
        <v>67</v>
      </c>
    </row>
    <row r="1797" spans="1:11" ht="42" customHeight="1">
      <c r="A1797" s="2" t="s">
        <v>4523</v>
      </c>
      <c r="B1797" s="2" t="s">
        <v>4524</v>
      </c>
      <c r="C1797" s="2" t="s">
        <v>63</v>
      </c>
      <c r="D1797" s="2" t="s">
        <v>43</v>
      </c>
      <c r="E1797" s="5">
        <v>-29374</v>
      </c>
      <c r="F1797" s="3" t="s">
        <v>204</v>
      </c>
      <c r="G1797" s="3" t="s">
        <v>28</v>
      </c>
      <c r="H1797" s="2" t="s">
        <v>65</v>
      </c>
      <c r="I1797" s="2" t="s">
        <v>4525</v>
      </c>
      <c r="J1797" s="3" t="str">
        <f>HYPERLINK("https://www.boe.es/gazeta/dias/1819/07/29/pdfs/GMD-1819-91.pdf#page=8","Abrir facsímil")</f>
        <v>Abrir facsímil</v>
      </c>
      <c r="K1797" s="3" t="s">
        <v>67</v>
      </c>
    </row>
    <row r="1798" spans="1:11" ht="42" customHeight="1">
      <c r="A1798" s="2" t="s">
        <v>4526</v>
      </c>
      <c r="B1798" s="2" t="s">
        <v>4527</v>
      </c>
      <c r="C1798" s="2" t="s">
        <v>136</v>
      </c>
      <c r="D1798" s="2" t="s">
        <v>18</v>
      </c>
      <c r="E1798" s="5">
        <v>-29535</v>
      </c>
      <c r="F1798" s="3" t="s">
        <v>200</v>
      </c>
      <c r="G1798" s="3" t="s">
        <v>55</v>
      </c>
      <c r="H1798" s="2" t="s">
        <v>65</v>
      </c>
      <c r="I1798" s="2" t="s">
        <v>4528</v>
      </c>
      <c r="J1798" s="3" t="str">
        <f>HYPERLINK("https://www.boe.es/gazeta/dias/1819/02/18/pdfs/GMD-1819-21.pdf#page=7","Abrir facsímil")</f>
        <v>Abrir facsímil</v>
      </c>
      <c r="K1798" s="3" t="s">
        <v>67</v>
      </c>
    </row>
    <row r="1799" spans="1:11" ht="42" customHeight="1">
      <c r="A1799" s="2" t="s">
        <v>4526</v>
      </c>
      <c r="B1799" s="2" t="s">
        <v>4527</v>
      </c>
      <c r="C1799" s="2" t="s">
        <v>59</v>
      </c>
      <c r="D1799" s="2" t="s">
        <v>18</v>
      </c>
      <c r="E1799" s="5">
        <v>-29528</v>
      </c>
      <c r="F1799" s="3" t="s">
        <v>708</v>
      </c>
      <c r="G1799" s="3" t="s">
        <v>3228</v>
      </c>
      <c r="H1799" s="2" t="s">
        <v>65</v>
      </c>
      <c r="I1799" s="2" t="s">
        <v>4529</v>
      </c>
      <c r="J1799" s="3" t="str">
        <f>HYPERLINK("https://www.boe.es/gazeta/dias/1819/02/25/pdfs/GMD-1819-24.pdf#page=6","Abrir facsímil")</f>
        <v>Abrir facsímil</v>
      </c>
      <c r="K1799" s="3" t="s">
        <v>67</v>
      </c>
    </row>
    <row r="1800" spans="1:11" ht="42" customHeight="1">
      <c r="A1800" s="2" t="s">
        <v>4526</v>
      </c>
      <c r="B1800" s="2" t="s">
        <v>4527</v>
      </c>
      <c r="C1800" s="2" t="s">
        <v>17</v>
      </c>
      <c r="D1800" s="2" t="s">
        <v>18</v>
      </c>
      <c r="E1800" s="5">
        <v>-29519</v>
      </c>
      <c r="F1800" s="3" t="s">
        <v>142</v>
      </c>
      <c r="G1800" s="3" t="s">
        <v>28</v>
      </c>
      <c r="H1800" s="2" t="s">
        <v>65</v>
      </c>
      <c r="I1800" s="2" t="s">
        <v>4530</v>
      </c>
      <c r="J1800" s="3" t="str">
        <f>HYPERLINK("https://www.boe.es/gazeta/dias/1819/03/06/pdfs/GMD-1819-28.pdf#page=8","Abrir facsímil")</f>
        <v>Abrir facsímil</v>
      </c>
      <c r="K1800" s="3" t="s">
        <v>67</v>
      </c>
    </row>
    <row r="1801" spans="1:11" ht="42" customHeight="1">
      <c r="A1801" s="2" t="s">
        <v>4526</v>
      </c>
      <c r="B1801" s="2" t="s">
        <v>4527</v>
      </c>
      <c r="C1801" s="2" t="s">
        <v>80</v>
      </c>
      <c r="D1801" s="2" t="s">
        <v>81</v>
      </c>
      <c r="E1801" s="5">
        <v>-29488</v>
      </c>
      <c r="F1801" s="3" t="s">
        <v>27</v>
      </c>
      <c r="G1801" s="3" t="s">
        <v>33</v>
      </c>
      <c r="H1801" s="2" t="s">
        <v>65</v>
      </c>
      <c r="I1801" s="2" t="s">
        <v>4531</v>
      </c>
      <c r="J1801" s="3" t="str">
        <f>HYPERLINK("https://www.boe.es/gazeta/dias/1819/04/06/pdfs/GMD-1819-41.pdf#page=6","Abrir facsímil")</f>
        <v>Abrir facsímil</v>
      </c>
      <c r="K1801" s="3" t="s">
        <v>67</v>
      </c>
    </row>
    <row r="1802" spans="1:11" ht="42" customHeight="1">
      <c r="A1802" s="2" t="s">
        <v>4526</v>
      </c>
      <c r="B1802" s="2" t="s">
        <v>4527</v>
      </c>
      <c r="C1802" s="2" t="s">
        <v>136</v>
      </c>
      <c r="D1802" s="2" t="s">
        <v>18</v>
      </c>
      <c r="E1802" s="5">
        <v>-29479</v>
      </c>
      <c r="F1802" s="3" t="s">
        <v>979</v>
      </c>
      <c r="G1802" s="3" t="s">
        <v>33</v>
      </c>
      <c r="H1802" s="2" t="s">
        <v>65</v>
      </c>
      <c r="I1802" s="2" t="s">
        <v>4532</v>
      </c>
      <c r="J1802" s="3" t="str">
        <f>HYPERLINK("https://www.boe.es/gazeta/dias/1819/04/15/pdfs/GMD-1819-45.pdf#page=6","Abrir facsímil")</f>
        <v>Abrir facsímil</v>
      </c>
      <c r="K1802" s="3" t="s">
        <v>67</v>
      </c>
    </row>
    <row r="1803" spans="1:11" ht="42" customHeight="1">
      <c r="A1803" s="2" t="s">
        <v>4533</v>
      </c>
      <c r="B1803" s="2" t="s">
        <v>4534</v>
      </c>
      <c r="C1803" s="2" t="s">
        <v>17</v>
      </c>
      <c r="D1803" s="2" t="s">
        <v>18</v>
      </c>
      <c r="E1803" s="5">
        <v>-29509</v>
      </c>
      <c r="F1803" s="3" t="s">
        <v>942</v>
      </c>
      <c r="G1803" s="3" t="s">
        <v>33</v>
      </c>
      <c r="H1803" s="2" t="s">
        <v>65</v>
      </c>
      <c r="I1803" s="2" t="s">
        <v>4535</v>
      </c>
      <c r="J1803" s="3" t="str">
        <f>HYPERLINK("https://www.boe.es/gazeta/dias/1819/03/16/pdfs/GMD-1819-32.pdf#page=6","Abrir facsímil")</f>
        <v>Abrir facsímil</v>
      </c>
      <c r="K1803" s="3" t="s">
        <v>67</v>
      </c>
    </row>
    <row r="1804" spans="1:11" ht="42" customHeight="1">
      <c r="A1804" s="2" t="s">
        <v>4536</v>
      </c>
      <c r="B1804" s="2" t="s">
        <v>4537</v>
      </c>
      <c r="C1804" s="2" t="s">
        <v>59</v>
      </c>
      <c r="D1804" s="2" t="s">
        <v>18</v>
      </c>
      <c r="E1804" s="5">
        <v>-29430</v>
      </c>
      <c r="F1804" s="3" t="s">
        <v>178</v>
      </c>
      <c r="G1804" s="3" t="s">
        <v>33</v>
      </c>
      <c r="H1804" s="2" t="s">
        <v>65</v>
      </c>
      <c r="I1804" s="2" t="s">
        <v>4538</v>
      </c>
      <c r="J1804" s="3" t="str">
        <f>HYPERLINK("https://www.boe.es/gazeta/dias/1819/06/03/pdfs/GMD-1819-66.pdf#page=6","Abrir facsímil")</f>
        <v>Abrir facsímil</v>
      </c>
      <c r="K1804" s="3" t="s">
        <v>67</v>
      </c>
    </row>
    <row r="1805" spans="1:11" ht="42" customHeight="1">
      <c r="A1805" s="2" t="s">
        <v>4539</v>
      </c>
      <c r="B1805" s="2" t="s">
        <v>4539</v>
      </c>
      <c r="C1805" s="2" t="s">
        <v>136</v>
      </c>
      <c r="D1805" s="2" t="s">
        <v>18</v>
      </c>
      <c r="E1805" s="5">
        <v>-29225</v>
      </c>
      <c r="F1805" s="3" t="s">
        <v>472</v>
      </c>
      <c r="G1805" s="3" t="s">
        <v>55</v>
      </c>
      <c r="H1805" s="2" t="s">
        <v>65</v>
      </c>
      <c r="I1805" s="2" t="s">
        <v>4540</v>
      </c>
      <c r="J1805" s="3" t="str">
        <f>HYPERLINK("https://www.boe.es/gazeta/dias/1819/12/25/pdfs/GMD-1819-158.pdf#page=7","Abrir facsímil")</f>
        <v>Abrir facsímil</v>
      </c>
      <c r="K1805" s="3" t="s">
        <v>67</v>
      </c>
    </row>
    <row r="1806" spans="1:11" ht="42" customHeight="1">
      <c r="A1806" s="2" t="s">
        <v>4541</v>
      </c>
      <c r="B1806" s="2" t="s">
        <v>4542</v>
      </c>
      <c r="C1806" s="2" t="s">
        <v>63</v>
      </c>
      <c r="D1806" s="2" t="s">
        <v>43</v>
      </c>
      <c r="E1806" s="5">
        <v>-29281</v>
      </c>
      <c r="F1806" s="3" t="s">
        <v>19</v>
      </c>
      <c r="G1806" s="3" t="s">
        <v>456</v>
      </c>
      <c r="H1806" s="2" t="s">
        <v>65</v>
      </c>
      <c r="I1806" s="2" t="s">
        <v>4543</v>
      </c>
      <c r="J1806" s="3" t="str">
        <f>HYPERLINK("https://www.boe.es/gazeta/dias/1819/10/30/pdfs/GMD-1819-134.pdf#page=9","Abrir facsímil")</f>
        <v>Abrir facsímil</v>
      </c>
      <c r="K1806" s="3" t="s">
        <v>67</v>
      </c>
    </row>
    <row r="1807" spans="1:11" ht="42" customHeight="1">
      <c r="A1807" s="2" t="s">
        <v>4544</v>
      </c>
      <c r="B1807" s="2" t="s">
        <v>4545</v>
      </c>
      <c r="C1807" s="2" t="s">
        <v>80</v>
      </c>
      <c r="D1807" s="2" t="s">
        <v>454</v>
      </c>
      <c r="E1807" s="5">
        <v>-29324</v>
      </c>
      <c r="F1807" s="3" t="s">
        <v>914</v>
      </c>
      <c r="G1807" s="3" t="s">
        <v>239</v>
      </c>
      <c r="H1807" s="2" t="s">
        <v>65</v>
      </c>
      <c r="I1807" s="2" t="s">
        <v>4546</v>
      </c>
      <c r="J1807" s="3" t="str">
        <f>HYPERLINK("https://www.boe.es/gazeta/dias/1819/09/17/pdfs/GMD-1819-114E.pdf#page=1","Abrir facsímil")</f>
        <v>Abrir facsímil</v>
      </c>
      <c r="K1807" s="3" t="s">
        <v>67</v>
      </c>
    </row>
    <row r="1808" spans="1:11" ht="42" customHeight="1">
      <c r="A1808" s="2" t="s">
        <v>4547</v>
      </c>
      <c r="B1808" s="2" t="s">
        <v>4547</v>
      </c>
      <c r="C1808" s="2" t="s">
        <v>59</v>
      </c>
      <c r="D1808" s="2" t="s">
        <v>18</v>
      </c>
      <c r="E1808" s="5">
        <v>-29477</v>
      </c>
      <c r="F1808" s="3" t="s">
        <v>789</v>
      </c>
      <c r="G1808" s="3" t="s">
        <v>102</v>
      </c>
      <c r="H1808" s="2" t="s">
        <v>65</v>
      </c>
      <c r="I1808" s="2" t="s">
        <v>4548</v>
      </c>
      <c r="J1808" s="3" t="str">
        <f>HYPERLINK("https://www.boe.es/gazeta/dias/1819/04/17/pdfs/GMD-1819-46.pdf#page=3","Abrir facsímil")</f>
        <v>Abrir facsímil</v>
      </c>
      <c r="K1808" s="3" t="s">
        <v>67</v>
      </c>
    </row>
    <row r="1809" spans="1:11" ht="42" customHeight="1">
      <c r="A1809" s="2" t="s">
        <v>4549</v>
      </c>
      <c r="B1809" s="2" t="s">
        <v>4550</v>
      </c>
      <c r="C1809" s="2" t="s">
        <v>59</v>
      </c>
      <c r="D1809" s="2" t="s">
        <v>18</v>
      </c>
      <c r="E1809" s="5">
        <v>-29358</v>
      </c>
      <c r="F1809" s="3" t="s">
        <v>170</v>
      </c>
      <c r="G1809" s="3" t="s">
        <v>38</v>
      </c>
      <c r="H1809" s="2" t="s">
        <v>65</v>
      </c>
      <c r="I1809" s="2" t="s">
        <v>4551</v>
      </c>
      <c r="J1809" s="3" t="str">
        <f>HYPERLINK("https://www.boe.es/gazeta/dias/1819/08/14/pdfs/GMD-1819-98.pdf#page=5","Abrir facsímil")</f>
        <v>Abrir facsímil</v>
      </c>
      <c r="K1809" s="3" t="s">
        <v>67</v>
      </c>
    </row>
    <row r="1810" spans="1:11" ht="42" customHeight="1">
      <c r="A1810" s="2" t="s">
        <v>4552</v>
      </c>
      <c r="B1810" s="2" t="s">
        <v>4553</v>
      </c>
      <c r="C1810" s="2" t="s">
        <v>246</v>
      </c>
      <c r="D1810" s="2" t="s">
        <v>18</v>
      </c>
      <c r="E1810" s="5">
        <v>-29551</v>
      </c>
      <c r="F1810" s="3" t="s">
        <v>2173</v>
      </c>
      <c r="G1810" s="3" t="s">
        <v>239</v>
      </c>
      <c r="H1810" s="2" t="s">
        <v>65</v>
      </c>
      <c r="I1810" s="2" t="s">
        <v>4554</v>
      </c>
      <c r="J1810" s="3" t="str">
        <f>HYPERLINK("https://www.boe.es/gazeta/dias/1819/02/02/pdfs/GMD-1819-14.pdf#page=1","Abrir facsímil")</f>
        <v>Abrir facsímil</v>
      </c>
      <c r="K1810" s="3" t="s">
        <v>67</v>
      </c>
    </row>
    <row r="1811" spans="1:11" ht="42" customHeight="1">
      <c r="A1811" s="2" t="s">
        <v>4555</v>
      </c>
      <c r="B1811" s="2" t="s">
        <v>4556</v>
      </c>
      <c r="C1811" s="2" t="s">
        <v>17</v>
      </c>
      <c r="D1811" s="2" t="s">
        <v>18</v>
      </c>
      <c r="E1811" s="5">
        <v>-29369</v>
      </c>
      <c r="F1811" s="3" t="s">
        <v>231</v>
      </c>
      <c r="G1811" s="3" t="s">
        <v>55</v>
      </c>
      <c r="H1811" s="2" t="s">
        <v>65</v>
      </c>
      <c r="I1811" s="2" t="s">
        <v>4557</v>
      </c>
      <c r="J1811" s="3" t="str">
        <f>HYPERLINK("https://www.boe.es/gazeta/dias/1819/08/03/pdfs/GMD-1819-93.pdf#page=7","Abrir facsímil")</f>
        <v>Abrir facsímil</v>
      </c>
      <c r="K1811" s="3" t="s">
        <v>67</v>
      </c>
    </row>
    <row r="1812" spans="1:11" ht="42" customHeight="1">
      <c r="A1812" s="2" t="s">
        <v>4558</v>
      </c>
      <c r="B1812" s="2" t="s">
        <v>4559</v>
      </c>
      <c r="C1812" s="2" t="s">
        <v>80</v>
      </c>
      <c r="D1812" s="2" t="s">
        <v>81</v>
      </c>
      <c r="E1812" s="5">
        <v>-29271</v>
      </c>
      <c r="F1812" s="3" t="s">
        <v>32</v>
      </c>
      <c r="G1812" s="3" t="s">
        <v>28</v>
      </c>
      <c r="H1812" s="2" t="s">
        <v>65</v>
      </c>
      <c r="I1812" s="2" t="s">
        <v>4560</v>
      </c>
      <c r="J1812" s="3" t="str">
        <f>HYPERLINK("https://www.boe.es/gazeta/dias/1819/11/09/pdfs/GMD-1819-138.pdf#page=8","Abrir facsímil")</f>
        <v>Abrir facsímil</v>
      </c>
      <c r="K1812" s="3" t="s">
        <v>67</v>
      </c>
    </row>
    <row r="1813" spans="1:11" ht="42" customHeight="1">
      <c r="A1813" s="2" t="s">
        <v>4561</v>
      </c>
      <c r="B1813" s="2" t="s">
        <v>4562</v>
      </c>
      <c r="C1813" s="2" t="s">
        <v>136</v>
      </c>
      <c r="D1813" s="2" t="s">
        <v>18</v>
      </c>
      <c r="E1813" s="5">
        <v>-29260</v>
      </c>
      <c r="F1813" s="3" t="s">
        <v>93</v>
      </c>
      <c r="G1813" s="3" t="s">
        <v>138</v>
      </c>
      <c r="H1813" s="2" t="s">
        <v>65</v>
      </c>
      <c r="I1813" s="2" t="s">
        <v>4563</v>
      </c>
      <c r="J1813" s="3" t="str">
        <f>HYPERLINK("https://www.boe.es/gazeta/dias/1819/11/20/pdfs/GMD-1819-143.pdf#page=12","Abrir facsímil")</f>
        <v>Abrir facsímil</v>
      </c>
      <c r="K1813" s="3" t="s">
        <v>67</v>
      </c>
    </row>
    <row r="1814" spans="1:11" ht="42" customHeight="1">
      <c r="A1814" s="2" t="s">
        <v>4564</v>
      </c>
      <c r="B1814" s="2" t="s">
        <v>4564</v>
      </c>
      <c r="C1814" s="2" t="s">
        <v>17</v>
      </c>
      <c r="D1814" s="2" t="s">
        <v>18</v>
      </c>
      <c r="E1814" s="5">
        <v>-29264</v>
      </c>
      <c r="F1814" s="3" t="s">
        <v>37</v>
      </c>
      <c r="G1814" s="3" t="s">
        <v>38</v>
      </c>
      <c r="H1814" s="2" t="s">
        <v>65</v>
      </c>
      <c r="I1814" s="2" t="s">
        <v>4565</v>
      </c>
      <c r="J1814" s="3" t="str">
        <f>HYPERLINK("https://www.boe.es/gazeta/dias/1819/11/16/pdfs/GMD-1819-141.pdf#page=5","Abrir facsímil")</f>
        <v>Abrir facsímil</v>
      </c>
      <c r="K1814" s="3" t="s">
        <v>67</v>
      </c>
    </row>
    <row r="1815" spans="1:11" ht="42" customHeight="1">
      <c r="A1815" s="2" t="s">
        <v>4566</v>
      </c>
      <c r="B1815" s="2" t="s">
        <v>4567</v>
      </c>
      <c r="C1815" s="2" t="s">
        <v>63</v>
      </c>
      <c r="D1815" s="2" t="s">
        <v>43</v>
      </c>
      <c r="E1815" s="5">
        <v>-29435</v>
      </c>
      <c r="F1815" s="3" t="s">
        <v>191</v>
      </c>
      <c r="G1815" s="3" t="s">
        <v>55</v>
      </c>
      <c r="H1815" s="2" t="s">
        <v>65</v>
      </c>
      <c r="I1815" s="2" t="s">
        <v>4568</v>
      </c>
      <c r="J1815" s="3" t="str">
        <f>HYPERLINK("https://www.boe.es/gazeta/dias/1819/05/29/pdfs/GMD-1819-64.pdf#page=7","Abrir facsímil")</f>
        <v>Abrir facsímil</v>
      </c>
      <c r="K1815" s="3" t="s">
        <v>67</v>
      </c>
    </row>
    <row r="1816" spans="1:11" ht="42" customHeight="1">
      <c r="A1816" s="2" t="s">
        <v>4569</v>
      </c>
      <c r="B1816" s="2" t="s">
        <v>4569</v>
      </c>
      <c r="C1816" s="2" t="s">
        <v>63</v>
      </c>
      <c r="D1816" s="2" t="s">
        <v>43</v>
      </c>
      <c r="E1816" s="5">
        <v>-29414</v>
      </c>
      <c r="F1816" s="3" t="s">
        <v>732</v>
      </c>
      <c r="G1816" s="3" t="s">
        <v>55</v>
      </c>
      <c r="H1816" s="2" t="s">
        <v>65</v>
      </c>
      <c r="I1816" s="2" t="s">
        <v>4570</v>
      </c>
      <c r="J1816" s="3" t="str">
        <f>HYPERLINK("https://www.boe.es/gazeta/dias/1819/06/19/pdfs/GMD-1819-74.pdf#page=7","Abrir facsímil")</f>
        <v>Abrir facsímil</v>
      </c>
      <c r="K1816" s="3" t="s">
        <v>67</v>
      </c>
    </row>
    <row r="1817" spans="1:11" ht="42" customHeight="1">
      <c r="A1817" s="2" t="s">
        <v>4571</v>
      </c>
      <c r="B1817" s="2" t="s">
        <v>4572</v>
      </c>
      <c r="C1817" s="2" t="s">
        <v>80</v>
      </c>
      <c r="D1817" s="2" t="s">
        <v>81</v>
      </c>
      <c r="E1817" s="5">
        <v>-29276</v>
      </c>
      <c r="F1817" s="3" t="s">
        <v>54</v>
      </c>
      <c r="G1817" s="3" t="s">
        <v>55</v>
      </c>
      <c r="H1817" s="2" t="s">
        <v>21</v>
      </c>
      <c r="I1817" s="2" t="s">
        <v>4573</v>
      </c>
      <c r="J1817" s="3" t="str">
        <f>HYPERLINK("https://www.boe.es/gazeta/dias/1819/11/04/pdfs/GMD-1819-136.pdf#page=7","Abrir facsímil")</f>
        <v>Abrir facsímil</v>
      </c>
      <c r="K1817" s="3" t="s">
        <v>23</v>
      </c>
    </row>
    <row r="1818" spans="1:11" ht="42" customHeight="1">
      <c r="A1818" s="2" t="s">
        <v>4574</v>
      </c>
      <c r="B1818" s="2" t="s">
        <v>4575</v>
      </c>
      <c r="C1818" s="2" t="s">
        <v>63</v>
      </c>
      <c r="D1818" s="2" t="s">
        <v>43</v>
      </c>
      <c r="E1818" s="5">
        <v>-29220</v>
      </c>
      <c r="F1818" s="3" t="s">
        <v>397</v>
      </c>
      <c r="G1818" s="3" t="s">
        <v>4576</v>
      </c>
      <c r="H1818" s="2" t="s">
        <v>65</v>
      </c>
      <c r="I1818" s="2" t="s">
        <v>4577</v>
      </c>
      <c r="J1818" s="3" t="str">
        <f>HYPERLINK("https://www.boe.es/gazeta/dias/1819/12/30/pdfs/GMD-1819-160.pdf#page=1","Abrir facsímil")</f>
        <v>Abrir facsímil</v>
      </c>
      <c r="K1818" s="3" t="s">
        <v>67</v>
      </c>
    </row>
    <row r="1819" spans="1:11" ht="42" customHeight="1">
      <c r="A1819" s="2" t="s">
        <v>4578</v>
      </c>
      <c r="B1819" s="2" t="s">
        <v>4579</v>
      </c>
      <c r="C1819" s="2" t="s">
        <v>80</v>
      </c>
      <c r="D1819" s="2" t="s">
        <v>81</v>
      </c>
      <c r="E1819" s="5">
        <v>-29533</v>
      </c>
      <c r="F1819" s="3" t="s">
        <v>280</v>
      </c>
      <c r="G1819" s="3" t="s">
        <v>28</v>
      </c>
      <c r="H1819" s="2" t="s">
        <v>65</v>
      </c>
      <c r="I1819" s="2" t="s">
        <v>4580</v>
      </c>
      <c r="J1819" s="3" t="str">
        <f>HYPERLINK("https://www.boe.es/gazeta/dias/1819/02/20/pdfs/GMD-1819-22.pdf#page=8","Abrir facsímil")</f>
        <v>Abrir facsímil</v>
      </c>
      <c r="K1819" s="3" t="s">
        <v>67</v>
      </c>
    </row>
    <row r="1820" spans="1:11" ht="42" customHeight="1">
      <c r="A1820" s="2" t="s">
        <v>4581</v>
      </c>
      <c r="B1820" s="2" t="s">
        <v>4582</v>
      </c>
      <c r="C1820" s="2" t="s">
        <v>17</v>
      </c>
      <c r="D1820" s="2" t="s">
        <v>18</v>
      </c>
      <c r="E1820" s="5">
        <v>-29267</v>
      </c>
      <c r="F1820" s="3" t="s">
        <v>370</v>
      </c>
      <c r="G1820" s="3" t="s">
        <v>138</v>
      </c>
      <c r="H1820" s="2" t="s">
        <v>65</v>
      </c>
      <c r="I1820" s="2" t="s">
        <v>4583</v>
      </c>
      <c r="J1820" s="3" t="str">
        <f>HYPERLINK("https://www.boe.es/gazeta/dias/1819/11/13/pdfs/GMD-1819-140.pdf#page=12","Abrir facsímil")</f>
        <v>Abrir facsímil</v>
      </c>
      <c r="K1820" s="3" t="s">
        <v>67</v>
      </c>
    </row>
    <row r="1821" spans="1:11" ht="42" customHeight="1">
      <c r="A1821" s="2" t="s">
        <v>4584</v>
      </c>
      <c r="B1821" s="2" t="s">
        <v>4585</v>
      </c>
      <c r="C1821" s="2" t="s">
        <v>63</v>
      </c>
      <c r="D1821" s="2" t="s">
        <v>43</v>
      </c>
      <c r="E1821" s="5">
        <v>-29393</v>
      </c>
      <c r="F1821" s="3" t="s">
        <v>536</v>
      </c>
      <c r="G1821" s="3" t="s">
        <v>28</v>
      </c>
      <c r="H1821" s="2" t="s">
        <v>65</v>
      </c>
      <c r="I1821" s="2" t="s">
        <v>4586</v>
      </c>
      <c r="J1821" s="3" t="str">
        <f>HYPERLINK("https://www.boe.es/gazeta/dias/1819/07/10/pdfs/GMD-1819-83.pdf#page=8","Abrir facsímil")</f>
        <v>Abrir facsímil</v>
      </c>
      <c r="K1821" s="3" t="s">
        <v>67</v>
      </c>
    </row>
    <row r="1822" spans="1:11" ht="42" customHeight="1">
      <c r="A1822" s="2" t="s">
        <v>4584</v>
      </c>
      <c r="B1822" s="2" t="s">
        <v>4585</v>
      </c>
      <c r="C1822" s="2" t="s">
        <v>215</v>
      </c>
      <c r="D1822" s="2" t="s">
        <v>18</v>
      </c>
      <c r="E1822" s="5">
        <v>-29327</v>
      </c>
      <c r="F1822" s="3" t="s">
        <v>620</v>
      </c>
      <c r="G1822" s="3" t="s">
        <v>55</v>
      </c>
      <c r="H1822" s="2" t="s">
        <v>65</v>
      </c>
      <c r="I1822" s="2" t="s">
        <v>4587</v>
      </c>
      <c r="J1822" s="3" t="str">
        <f>HYPERLINK("https://www.boe.es/gazeta/dias/1819/09/14/pdfs/GMD-1819-112.pdf#page=7","Abrir facsímil")</f>
        <v>Abrir facsímil</v>
      </c>
      <c r="K1822" s="3" t="s">
        <v>67</v>
      </c>
    </row>
    <row r="1823" spans="1:11" ht="42" customHeight="1">
      <c r="A1823" s="2" t="s">
        <v>4584</v>
      </c>
      <c r="B1823" s="2" t="s">
        <v>4585</v>
      </c>
      <c r="C1823" s="2" t="s">
        <v>215</v>
      </c>
      <c r="D1823" s="2" t="s">
        <v>18</v>
      </c>
      <c r="E1823" s="5">
        <v>-29281</v>
      </c>
      <c r="F1823" s="3" t="s">
        <v>19</v>
      </c>
      <c r="G1823" s="3" t="s">
        <v>138</v>
      </c>
      <c r="H1823" s="2" t="s">
        <v>65</v>
      </c>
      <c r="I1823" s="2" t="s">
        <v>4588</v>
      </c>
      <c r="J1823" s="3" t="str">
        <f>HYPERLINK("https://www.boe.es/gazeta/dias/1819/10/30/pdfs/GMD-1819-134.pdf#page=12","Abrir facsímil")</f>
        <v>Abrir facsímil</v>
      </c>
      <c r="K1823" s="3" t="s">
        <v>67</v>
      </c>
    </row>
    <row r="1824" spans="1:11" ht="42" customHeight="1">
      <c r="A1824" s="2" t="s">
        <v>4584</v>
      </c>
      <c r="B1824" s="2" t="s">
        <v>4585</v>
      </c>
      <c r="C1824" s="2" t="s">
        <v>215</v>
      </c>
      <c r="D1824" s="2" t="s">
        <v>18</v>
      </c>
      <c r="E1824" s="5">
        <v>-29278</v>
      </c>
      <c r="F1824" s="3" t="s">
        <v>1950</v>
      </c>
      <c r="G1824" s="3" t="s">
        <v>55</v>
      </c>
      <c r="H1824" s="2" t="s">
        <v>65</v>
      </c>
      <c r="I1824" s="2" t="s">
        <v>4589</v>
      </c>
      <c r="J1824" s="3" t="str">
        <f>HYPERLINK("https://www.boe.es/gazeta/dias/1819/11/02/pdfs/GMD-1819-135.pdf#page=7","Abrir facsímil")</f>
        <v>Abrir facsímil</v>
      </c>
      <c r="K1824" s="3" t="s">
        <v>67</v>
      </c>
    </row>
    <row r="1825" spans="1:11" ht="42" customHeight="1">
      <c r="A1825" s="2" t="s">
        <v>4584</v>
      </c>
      <c r="B1825" s="2" t="s">
        <v>4585</v>
      </c>
      <c r="C1825" s="2" t="s">
        <v>63</v>
      </c>
      <c r="D1825" s="2" t="s">
        <v>43</v>
      </c>
      <c r="E1825" s="5">
        <v>-29276</v>
      </c>
      <c r="F1825" s="3" t="s">
        <v>54</v>
      </c>
      <c r="G1825" s="3" t="s">
        <v>28</v>
      </c>
      <c r="H1825" s="2" t="s">
        <v>65</v>
      </c>
      <c r="I1825" s="2" t="s">
        <v>4590</v>
      </c>
      <c r="J1825" s="3" t="str">
        <f>HYPERLINK("https://www.boe.es/gazeta/dias/1819/11/04/pdfs/GMD-1819-136.pdf#page=8","Abrir facsímil")</f>
        <v>Abrir facsímil</v>
      </c>
      <c r="K1825" s="3" t="s">
        <v>67</v>
      </c>
    </row>
    <row r="1826" spans="1:11" ht="42" customHeight="1">
      <c r="A1826" s="2" t="s">
        <v>4584</v>
      </c>
      <c r="B1826" s="2" t="s">
        <v>4585</v>
      </c>
      <c r="C1826" s="2" t="s">
        <v>63</v>
      </c>
      <c r="D1826" s="2" t="s">
        <v>43</v>
      </c>
      <c r="E1826" s="5">
        <v>-29269</v>
      </c>
      <c r="F1826" s="3" t="s">
        <v>565</v>
      </c>
      <c r="G1826" s="3" t="s">
        <v>28</v>
      </c>
      <c r="H1826" s="2" t="s">
        <v>65</v>
      </c>
      <c r="I1826" s="2" t="s">
        <v>4591</v>
      </c>
      <c r="J1826" s="3" t="str">
        <f>HYPERLINK("https://www.boe.es/gazeta/dias/1819/11/11/pdfs/GMD-1819-139.pdf#page=8","Abrir facsímil")</f>
        <v>Abrir facsímil</v>
      </c>
      <c r="K1826" s="3" t="s">
        <v>67</v>
      </c>
    </row>
    <row r="1827" spans="1:11" ht="42" customHeight="1">
      <c r="A1827" s="2" t="s">
        <v>4592</v>
      </c>
      <c r="B1827" s="2" t="s">
        <v>4593</v>
      </c>
      <c r="C1827" s="2" t="s">
        <v>59</v>
      </c>
      <c r="D1827" s="2" t="s">
        <v>18</v>
      </c>
      <c r="E1827" s="5">
        <v>-29341</v>
      </c>
      <c r="F1827" s="3" t="s">
        <v>806</v>
      </c>
      <c r="G1827" s="3" t="s">
        <v>28</v>
      </c>
      <c r="H1827" s="2" t="s">
        <v>65</v>
      </c>
      <c r="I1827" s="2" t="s">
        <v>4594</v>
      </c>
      <c r="J1827" s="3" t="str">
        <f>HYPERLINK("https://www.boe.es/gazeta/dias/1819/08/31/pdfs/GMD-1819-105.pdf#page=8","Abrir facsímil")</f>
        <v>Abrir facsímil</v>
      </c>
      <c r="K1827" s="3" t="s">
        <v>67</v>
      </c>
    </row>
    <row r="1828" spans="1:11" ht="42" customHeight="1">
      <c r="A1828" s="2" t="s">
        <v>4595</v>
      </c>
      <c r="B1828" s="2" t="s">
        <v>4596</v>
      </c>
      <c r="C1828" s="2" t="s">
        <v>17</v>
      </c>
      <c r="D1828" s="2" t="s">
        <v>18</v>
      </c>
      <c r="E1828" s="5">
        <v>-29281</v>
      </c>
      <c r="F1828" s="3" t="s">
        <v>19</v>
      </c>
      <c r="G1828" s="3" t="s">
        <v>20</v>
      </c>
      <c r="H1828" s="2" t="s">
        <v>21</v>
      </c>
      <c r="I1828" s="2" t="s">
        <v>4597</v>
      </c>
      <c r="J1828" s="3" t="str">
        <f>HYPERLINK("https://www.boe.es/gazeta/dias/1819/10/30/pdfs/GMD-1819-134.pdf#page=10","Abrir facsímil")</f>
        <v>Abrir facsímil</v>
      </c>
      <c r="K1828" s="3" t="s">
        <v>23</v>
      </c>
    </row>
    <row r="1829" spans="1:11" ht="42" customHeight="1">
      <c r="A1829" s="2" t="s">
        <v>4598</v>
      </c>
      <c r="B1829" s="2" t="s">
        <v>4599</v>
      </c>
      <c r="C1829" s="2" t="s">
        <v>17</v>
      </c>
      <c r="D1829" s="2" t="s">
        <v>18</v>
      </c>
      <c r="E1829" s="5">
        <v>-29271</v>
      </c>
      <c r="F1829" s="3" t="s">
        <v>32</v>
      </c>
      <c r="G1829" s="3" t="s">
        <v>33</v>
      </c>
      <c r="H1829" s="2" t="s">
        <v>21</v>
      </c>
      <c r="I1829" s="2" t="s">
        <v>4600</v>
      </c>
      <c r="J1829" s="3" t="str">
        <f>HYPERLINK("https://www.boe.es/gazeta/dias/1819/11/09/pdfs/GMD-1819-138.pdf#page=6","Abrir facsímil")</f>
        <v>Abrir facsímil</v>
      </c>
      <c r="K1829" s="3" t="s">
        <v>23</v>
      </c>
    </row>
    <row r="1830" spans="1:11" ht="42" customHeight="1">
      <c r="A1830" s="2" t="s">
        <v>4601</v>
      </c>
      <c r="B1830" s="2" t="s">
        <v>4602</v>
      </c>
      <c r="C1830" s="2" t="s">
        <v>63</v>
      </c>
      <c r="D1830" s="2" t="s">
        <v>43</v>
      </c>
      <c r="E1830" s="5">
        <v>-29285</v>
      </c>
      <c r="F1830" s="3" t="s">
        <v>578</v>
      </c>
      <c r="G1830" s="3" t="s">
        <v>55</v>
      </c>
      <c r="H1830" s="2" t="s">
        <v>21</v>
      </c>
      <c r="I1830" s="2" t="s">
        <v>4603</v>
      </c>
      <c r="J1830" s="3" t="str">
        <f>HYPERLINK("https://www.boe.es/gazeta/dias/1819/10/26/pdfs/GMD-1819-132.pdf#page=7","Abrir facsímil")</f>
        <v>Abrir facsímil</v>
      </c>
      <c r="K1830" s="3" t="s">
        <v>23</v>
      </c>
    </row>
    <row r="1831" spans="1:11" ht="42" customHeight="1">
      <c r="A1831" s="2" t="s">
        <v>4604</v>
      </c>
      <c r="B1831" s="2" t="s">
        <v>4604</v>
      </c>
      <c r="C1831" s="2" t="s">
        <v>80</v>
      </c>
      <c r="D1831" s="2" t="s">
        <v>81</v>
      </c>
      <c r="E1831" s="5">
        <v>-29507</v>
      </c>
      <c r="F1831" s="3" t="s">
        <v>1928</v>
      </c>
      <c r="G1831" s="3" t="s">
        <v>259</v>
      </c>
      <c r="H1831" s="2" t="s">
        <v>65</v>
      </c>
      <c r="I1831" s="2" t="s">
        <v>4605</v>
      </c>
      <c r="J1831" s="3" t="str">
        <f>HYPERLINK("https://www.boe.es/gazeta/dias/1819/03/18/pdfs/GMD-1819-33.pdf#page=2","Abrir facsímil")</f>
        <v>Abrir facsímil</v>
      </c>
      <c r="K1831" s="3" t="s">
        <v>67</v>
      </c>
    </row>
    <row r="1832" spans="1:11" ht="42" customHeight="1">
      <c r="A1832" s="2" t="s">
        <v>4604</v>
      </c>
      <c r="B1832" s="2" t="s">
        <v>4604</v>
      </c>
      <c r="C1832" s="2" t="s">
        <v>80</v>
      </c>
      <c r="D1832" s="2" t="s">
        <v>81</v>
      </c>
      <c r="E1832" s="5">
        <v>-29491</v>
      </c>
      <c r="F1832" s="3" t="s">
        <v>1604</v>
      </c>
      <c r="G1832" s="3" t="s">
        <v>38</v>
      </c>
      <c r="H1832" s="2" t="s">
        <v>65</v>
      </c>
      <c r="I1832" s="2" t="s">
        <v>4606</v>
      </c>
      <c r="J1832" s="3" t="str">
        <f>HYPERLINK("https://www.boe.es/gazeta/dias/1819/04/03/pdfs/GMD-1819-40.pdf#page=5","Abrir facsímil")</f>
        <v>Abrir facsímil</v>
      </c>
      <c r="K1832" s="3" t="s">
        <v>67</v>
      </c>
    </row>
    <row r="1833" spans="1:11" ht="42" customHeight="1">
      <c r="A1833" s="2" t="s">
        <v>4607</v>
      </c>
      <c r="B1833" s="2" t="s">
        <v>4607</v>
      </c>
      <c r="C1833" s="2" t="s">
        <v>63</v>
      </c>
      <c r="D1833" s="2" t="s">
        <v>43</v>
      </c>
      <c r="E1833" s="5">
        <v>-29477</v>
      </c>
      <c r="F1833" s="3" t="s">
        <v>789</v>
      </c>
      <c r="G1833" s="3" t="s">
        <v>239</v>
      </c>
      <c r="H1833" s="2" t="s">
        <v>65</v>
      </c>
      <c r="I1833" s="2" t="s">
        <v>4608</v>
      </c>
      <c r="J1833" s="3" t="str">
        <f>HYPERLINK("https://www.boe.es/gazeta/dias/1819/04/17/pdfs/GMD-1819-46.pdf#page=1","Abrir facsímil")</f>
        <v>Abrir facsímil</v>
      </c>
      <c r="K1833" s="3" t="s">
        <v>67</v>
      </c>
    </row>
    <row r="1834" spans="1:11" ht="42" customHeight="1">
      <c r="A1834" s="2" t="s">
        <v>4609</v>
      </c>
      <c r="B1834" s="2" t="s">
        <v>4609</v>
      </c>
      <c r="C1834" s="2" t="s">
        <v>63</v>
      </c>
      <c r="D1834" s="2" t="s">
        <v>43</v>
      </c>
      <c r="E1834" s="5">
        <v>-29558</v>
      </c>
      <c r="F1834" s="3" t="s">
        <v>1463</v>
      </c>
      <c r="G1834" s="3" t="s">
        <v>28</v>
      </c>
      <c r="H1834" s="2" t="s">
        <v>65</v>
      </c>
      <c r="I1834" s="2" t="s">
        <v>4610</v>
      </c>
      <c r="J1834" s="3" t="str">
        <f>HYPERLINK("https://www.boe.es/gazeta/dias/1819/01/26/pdfs/GMD-1819-11.pdf#page=8","Abrir facsímil")</f>
        <v>Abrir facsímil</v>
      </c>
      <c r="K1834" s="3" t="s">
        <v>67</v>
      </c>
    </row>
    <row r="1835" spans="1:11" ht="42" customHeight="1">
      <c r="A1835" s="2" t="s">
        <v>4611</v>
      </c>
      <c r="B1835" s="2" t="s">
        <v>4611</v>
      </c>
      <c r="C1835" s="2" t="s">
        <v>17</v>
      </c>
      <c r="D1835" s="2" t="s">
        <v>18</v>
      </c>
      <c r="E1835" s="5">
        <v>-29486</v>
      </c>
      <c r="F1835" s="3" t="s">
        <v>330</v>
      </c>
      <c r="G1835" s="3" t="s">
        <v>28</v>
      </c>
      <c r="H1835" s="2" t="s">
        <v>65</v>
      </c>
      <c r="I1835" s="2" t="s">
        <v>4612</v>
      </c>
      <c r="J1835" s="3" t="str">
        <f>HYPERLINK("https://www.boe.es/gazeta/dias/1819/04/08/pdfs/GMD-1819-42.pdf#page=8","Abrir facsímil")</f>
        <v>Abrir facsímil</v>
      </c>
      <c r="K1835" s="3" t="s">
        <v>67</v>
      </c>
    </row>
    <row r="1836" spans="1:11" ht="42" customHeight="1">
      <c r="A1836" s="2" t="s">
        <v>4611</v>
      </c>
      <c r="B1836" s="2" t="s">
        <v>4611</v>
      </c>
      <c r="C1836" s="2" t="s">
        <v>59</v>
      </c>
      <c r="D1836" s="2" t="s">
        <v>18</v>
      </c>
      <c r="E1836" s="5">
        <v>-29365</v>
      </c>
      <c r="F1836" s="3" t="s">
        <v>218</v>
      </c>
      <c r="G1836" s="3" t="s">
        <v>28</v>
      </c>
      <c r="H1836" s="2" t="s">
        <v>65</v>
      </c>
      <c r="I1836" s="2" t="s">
        <v>4613</v>
      </c>
      <c r="J1836" s="3" t="str">
        <f>HYPERLINK("https://www.boe.es/gazeta/dias/1819/08/07/pdfs/GMD-1819-95.pdf#page=8","Abrir facsímil")</f>
        <v>Abrir facsímil</v>
      </c>
      <c r="K1836" s="3" t="s">
        <v>67</v>
      </c>
    </row>
    <row r="1837" spans="1:11" ht="42" customHeight="1">
      <c r="A1837" s="2" t="s">
        <v>4614</v>
      </c>
      <c r="B1837" s="2" t="s">
        <v>4614</v>
      </c>
      <c r="C1837" s="2" t="s">
        <v>80</v>
      </c>
      <c r="D1837" s="2" t="s">
        <v>81</v>
      </c>
      <c r="E1837" s="5">
        <v>-29500</v>
      </c>
      <c r="F1837" s="3" t="s">
        <v>212</v>
      </c>
      <c r="G1837" s="3" t="s">
        <v>239</v>
      </c>
      <c r="H1837" s="2" t="s">
        <v>65</v>
      </c>
      <c r="I1837" s="2" t="s">
        <v>4615</v>
      </c>
      <c r="J1837" s="3" t="str">
        <f>HYPERLINK("https://www.boe.es/gazeta/dias/1819/03/25/pdfs/GMD-1819-36.pdf#page=1","Abrir facsímil")</f>
        <v>Abrir facsímil</v>
      </c>
      <c r="K1837" s="3" t="s">
        <v>67</v>
      </c>
    </row>
    <row r="1838" spans="1:11" ht="42" customHeight="1">
      <c r="A1838" s="2" t="s">
        <v>4614</v>
      </c>
      <c r="B1838" s="2" t="s">
        <v>4614</v>
      </c>
      <c r="C1838" s="2" t="s">
        <v>80</v>
      </c>
      <c r="D1838" s="2" t="s">
        <v>81</v>
      </c>
      <c r="E1838" s="5">
        <v>-29493</v>
      </c>
      <c r="F1838" s="3" t="s">
        <v>404</v>
      </c>
      <c r="G1838" s="3" t="s">
        <v>259</v>
      </c>
      <c r="H1838" s="2" t="s">
        <v>65</v>
      </c>
      <c r="I1838" s="2" t="s">
        <v>4616</v>
      </c>
      <c r="J1838" s="3" t="str">
        <f>HYPERLINK("https://www.boe.es/gazeta/dias/1819/04/01/pdfs/GMD-1819-39.pdf#page=2","Abrir facsímil")</f>
        <v>Abrir facsímil</v>
      </c>
      <c r="K1838" s="3" t="s">
        <v>67</v>
      </c>
    </row>
    <row r="1839" spans="1:11" ht="42" customHeight="1">
      <c r="A1839" s="2" t="s">
        <v>4614</v>
      </c>
      <c r="B1839" s="2" t="s">
        <v>4614</v>
      </c>
      <c r="C1839" s="2" t="s">
        <v>80</v>
      </c>
      <c r="D1839" s="2" t="s">
        <v>81</v>
      </c>
      <c r="E1839" s="5">
        <v>-29425</v>
      </c>
      <c r="F1839" s="3" t="s">
        <v>110</v>
      </c>
      <c r="G1839" s="3" t="s">
        <v>102</v>
      </c>
      <c r="H1839" s="2" t="s">
        <v>65</v>
      </c>
      <c r="I1839" s="2" t="s">
        <v>4617</v>
      </c>
      <c r="J1839" s="3" t="str">
        <f>HYPERLINK("https://www.boe.es/gazeta/dias/1819/06/08/pdfs/GMD-1819-68.pdf#page=3","Abrir facsímil")</f>
        <v>Abrir facsímil</v>
      </c>
      <c r="K1839" s="3" t="s">
        <v>67</v>
      </c>
    </row>
    <row r="1840" spans="1:11" ht="42" customHeight="1">
      <c r="A1840" s="2" t="s">
        <v>4614</v>
      </c>
      <c r="B1840" s="2" t="s">
        <v>4614</v>
      </c>
      <c r="C1840" s="2" t="s">
        <v>80</v>
      </c>
      <c r="D1840" s="2" t="s">
        <v>81</v>
      </c>
      <c r="E1840" s="5">
        <v>-29409</v>
      </c>
      <c r="F1840" s="3" t="s">
        <v>106</v>
      </c>
      <c r="G1840" s="3" t="s">
        <v>102</v>
      </c>
      <c r="H1840" s="2" t="s">
        <v>65</v>
      </c>
      <c r="I1840" s="2" t="s">
        <v>4618</v>
      </c>
      <c r="J1840" s="3" t="str">
        <f>HYPERLINK("https://www.boe.es/gazeta/dias/1819/06/24/pdfs/GMD-1819-76.pdf#page=3","Abrir facsímil")</f>
        <v>Abrir facsímil</v>
      </c>
      <c r="K1840" s="3" t="s">
        <v>67</v>
      </c>
    </row>
    <row r="1841" spans="1:11" ht="42" customHeight="1">
      <c r="A1841" s="2" t="s">
        <v>4619</v>
      </c>
      <c r="B1841" s="2" t="s">
        <v>4619</v>
      </c>
      <c r="C1841" s="2" t="s">
        <v>59</v>
      </c>
      <c r="D1841" s="2" t="s">
        <v>18</v>
      </c>
      <c r="E1841" s="5">
        <v>-29493</v>
      </c>
      <c r="F1841" s="3" t="s">
        <v>404</v>
      </c>
      <c r="G1841" s="3" t="s">
        <v>55</v>
      </c>
      <c r="H1841" s="2" t="s">
        <v>65</v>
      </c>
      <c r="I1841" s="2" t="s">
        <v>4620</v>
      </c>
      <c r="J1841" s="3" t="str">
        <f>HYPERLINK("https://www.boe.es/gazeta/dias/1819/04/01/pdfs/GMD-1819-39.pdf#page=7","Abrir facsímil")</f>
        <v>Abrir facsímil</v>
      </c>
      <c r="K1841" s="3" t="s">
        <v>67</v>
      </c>
    </row>
    <row r="1842" spans="1:11" ht="42" customHeight="1">
      <c r="A1842" s="2" t="s">
        <v>4621</v>
      </c>
      <c r="B1842" s="2" t="s">
        <v>4622</v>
      </c>
      <c r="C1842" s="2" t="s">
        <v>80</v>
      </c>
      <c r="D1842" s="2" t="s">
        <v>81</v>
      </c>
      <c r="E1842" s="5">
        <v>-29316</v>
      </c>
      <c r="F1842" s="3" t="s">
        <v>166</v>
      </c>
      <c r="G1842" s="3" t="s">
        <v>20</v>
      </c>
      <c r="H1842" s="2" t="s">
        <v>65</v>
      </c>
      <c r="I1842" s="2" t="s">
        <v>4623</v>
      </c>
      <c r="J1842" s="3" t="str">
        <f>HYPERLINK("https://www.boe.es/gazeta/dias/1819/09/25/pdfs/GMD-1819-118.pdf#page=10","Abrir facsímil")</f>
        <v>Abrir facsímil</v>
      </c>
      <c r="K1842" s="3" t="s">
        <v>67</v>
      </c>
    </row>
    <row r="1843" spans="1:11" ht="42" customHeight="1">
      <c r="A1843" s="2" t="s">
        <v>4624</v>
      </c>
      <c r="B1843" s="2" t="s">
        <v>4624</v>
      </c>
      <c r="C1843" s="2" t="s">
        <v>80</v>
      </c>
      <c r="D1843" s="2" t="s">
        <v>81</v>
      </c>
      <c r="E1843" s="5">
        <v>-29519</v>
      </c>
      <c r="F1843" s="3" t="s">
        <v>142</v>
      </c>
      <c r="G1843" s="3" t="s">
        <v>102</v>
      </c>
      <c r="H1843" s="2" t="s">
        <v>65</v>
      </c>
      <c r="I1843" s="2" t="s">
        <v>4625</v>
      </c>
      <c r="J1843" s="3" t="str">
        <f>HYPERLINK("https://www.boe.es/gazeta/dias/1819/03/06/pdfs/GMD-1819-28.pdf#page=3","Abrir facsímil")</f>
        <v>Abrir facsímil</v>
      </c>
      <c r="K1843" s="3" t="s">
        <v>67</v>
      </c>
    </row>
    <row r="1844" spans="1:11" ht="42" customHeight="1">
      <c r="A1844" s="2" t="s">
        <v>4626</v>
      </c>
      <c r="B1844" s="2" t="s">
        <v>4626</v>
      </c>
      <c r="C1844" s="2" t="s">
        <v>215</v>
      </c>
      <c r="D1844" s="2" t="s">
        <v>18</v>
      </c>
      <c r="E1844" s="5">
        <v>-29250</v>
      </c>
      <c r="F1844" s="3" t="s">
        <v>312</v>
      </c>
      <c r="G1844" s="3" t="s">
        <v>102</v>
      </c>
      <c r="H1844" s="2" t="s">
        <v>65</v>
      </c>
      <c r="I1844" s="2" t="s">
        <v>4627</v>
      </c>
      <c r="J1844" s="3" t="str">
        <f>HYPERLINK("https://www.boe.es/gazeta/dias/1819/11/30/pdfs/GMD-1819-147.pdf#page=3","Abrir facsímil")</f>
        <v>Abrir facsímil</v>
      </c>
      <c r="K1844" s="3" t="s">
        <v>67</v>
      </c>
    </row>
    <row r="1845" spans="1:11" ht="42" customHeight="1">
      <c r="A1845" s="2" t="s">
        <v>4626</v>
      </c>
      <c r="B1845" s="2" t="s">
        <v>4626</v>
      </c>
      <c r="C1845" s="2" t="s">
        <v>59</v>
      </c>
      <c r="D1845" s="2" t="s">
        <v>18</v>
      </c>
      <c r="E1845" s="5">
        <v>-29234</v>
      </c>
      <c r="F1845" s="3" t="s">
        <v>343</v>
      </c>
      <c r="G1845" s="3" t="s">
        <v>4628</v>
      </c>
      <c r="H1845" s="2" t="s">
        <v>65</v>
      </c>
      <c r="I1845" s="2" t="s">
        <v>4629</v>
      </c>
      <c r="J1845" s="3" t="str">
        <f>HYPERLINK("https://www.boe.es/gazeta/dias/1819/12/16/pdfs/GMD-1819-154.pdf#page=2","Abrir facsímil")</f>
        <v>Abrir facsímil</v>
      </c>
      <c r="K1845" s="3" t="s">
        <v>67</v>
      </c>
    </row>
    <row r="1846" spans="1:11" ht="42" customHeight="1">
      <c r="A1846" s="2" t="s">
        <v>4630</v>
      </c>
      <c r="B1846" s="2" t="s">
        <v>4631</v>
      </c>
      <c r="C1846" s="2" t="s">
        <v>59</v>
      </c>
      <c r="D1846" s="2" t="s">
        <v>18</v>
      </c>
      <c r="E1846" s="5">
        <v>-29318</v>
      </c>
      <c r="F1846" s="3" t="s">
        <v>1442</v>
      </c>
      <c r="G1846" s="3" t="s">
        <v>1443</v>
      </c>
      <c r="H1846" s="2" t="s">
        <v>65</v>
      </c>
      <c r="I1846" s="2" t="s">
        <v>4632</v>
      </c>
      <c r="J1846" s="3" t="str">
        <f>HYPERLINK("https://www.boe.es/gazeta/dias/1819/09/23/pdfs/GMD-1819-117.pdf#page=8","Abrir facsímil")</f>
        <v>Abrir facsímil</v>
      </c>
      <c r="K1846" s="3" t="s">
        <v>67</v>
      </c>
    </row>
    <row r="1847" spans="1:11" ht="42" customHeight="1">
      <c r="A1847" s="2" t="s">
        <v>4633</v>
      </c>
      <c r="B1847" s="2" t="s">
        <v>4633</v>
      </c>
      <c r="C1847" s="2" t="s">
        <v>136</v>
      </c>
      <c r="D1847" s="2" t="s">
        <v>18</v>
      </c>
      <c r="E1847" s="5">
        <v>-29444</v>
      </c>
      <c r="F1847" s="3" t="s">
        <v>258</v>
      </c>
      <c r="G1847" s="3" t="s">
        <v>28</v>
      </c>
      <c r="H1847" s="2" t="s">
        <v>65</v>
      </c>
      <c r="I1847" s="2" t="s">
        <v>4634</v>
      </c>
      <c r="J1847" s="3" t="str">
        <f>HYPERLINK("https://www.boe.es/gazeta/dias/1819/05/20/pdfs/GMD-1819-60.pdf#page=8","Abrir facsímil")</f>
        <v>Abrir facsímil</v>
      </c>
      <c r="K1847" s="3" t="s">
        <v>67</v>
      </c>
    </row>
    <row r="1848" spans="1:11" ht="42" customHeight="1">
      <c r="A1848" s="2" t="s">
        <v>4633</v>
      </c>
      <c r="B1848" s="2" t="s">
        <v>4633</v>
      </c>
      <c r="C1848" s="2" t="s">
        <v>215</v>
      </c>
      <c r="D1848" s="2" t="s">
        <v>18</v>
      </c>
      <c r="E1848" s="5">
        <v>-29379</v>
      </c>
      <c r="F1848" s="3" t="s">
        <v>161</v>
      </c>
      <c r="G1848" s="3" t="s">
        <v>28</v>
      </c>
      <c r="H1848" s="2" t="s">
        <v>65</v>
      </c>
      <c r="I1848" s="2" t="s">
        <v>4635</v>
      </c>
      <c r="J1848" s="3" t="str">
        <f>HYPERLINK("https://www.boe.es/gazeta/dias/1819/07/24/pdfs/GMD-1819-89.pdf#page=8","Abrir facsímil")</f>
        <v>Abrir facsímil</v>
      </c>
      <c r="K1848" s="3" t="s">
        <v>67</v>
      </c>
    </row>
    <row r="1849" spans="1:11" ht="42" customHeight="1">
      <c r="A1849" s="2" t="s">
        <v>4633</v>
      </c>
      <c r="B1849" s="2" t="s">
        <v>4633</v>
      </c>
      <c r="C1849" s="2" t="s">
        <v>215</v>
      </c>
      <c r="D1849" s="2" t="s">
        <v>18</v>
      </c>
      <c r="E1849" s="5">
        <v>-29376</v>
      </c>
      <c r="F1849" s="3" t="s">
        <v>332</v>
      </c>
      <c r="G1849" s="3" t="s">
        <v>28</v>
      </c>
      <c r="H1849" s="2" t="s">
        <v>65</v>
      </c>
      <c r="I1849" s="2" t="s">
        <v>4636</v>
      </c>
      <c r="J1849" s="3" t="str">
        <f>HYPERLINK("https://www.boe.es/gazeta/dias/1819/07/27/pdfs/GMD-1819-90.pdf#page=8","Abrir facsímil")</f>
        <v>Abrir facsímil</v>
      </c>
      <c r="K1849" s="3" t="s">
        <v>67</v>
      </c>
    </row>
    <row r="1850" spans="1:11" ht="42" customHeight="1">
      <c r="A1850" s="2" t="s">
        <v>4633</v>
      </c>
      <c r="B1850" s="2" t="s">
        <v>4633</v>
      </c>
      <c r="C1850" s="2" t="s">
        <v>215</v>
      </c>
      <c r="D1850" s="2" t="s">
        <v>18</v>
      </c>
      <c r="E1850" s="5">
        <v>-29374</v>
      </c>
      <c r="F1850" s="3" t="s">
        <v>204</v>
      </c>
      <c r="G1850" s="3" t="s">
        <v>28</v>
      </c>
      <c r="H1850" s="2" t="s">
        <v>65</v>
      </c>
      <c r="I1850" s="2" t="s">
        <v>4637</v>
      </c>
      <c r="J1850" s="3" t="str">
        <f>HYPERLINK("https://www.boe.es/gazeta/dias/1819/07/29/pdfs/GMD-1819-91.pdf#page=8","Abrir facsímil")</f>
        <v>Abrir facsímil</v>
      </c>
      <c r="K1850" s="3" t="s">
        <v>67</v>
      </c>
    </row>
    <row r="1851" spans="1:11" ht="42" customHeight="1">
      <c r="A1851" s="2" t="s">
        <v>4638</v>
      </c>
      <c r="B1851" s="2" t="s">
        <v>4638</v>
      </c>
      <c r="C1851" s="2" t="s">
        <v>80</v>
      </c>
      <c r="D1851" s="2" t="s">
        <v>81</v>
      </c>
      <c r="E1851" s="5">
        <v>-29537</v>
      </c>
      <c r="F1851" s="3" t="s">
        <v>593</v>
      </c>
      <c r="G1851" s="3" t="s">
        <v>259</v>
      </c>
      <c r="H1851" s="2" t="s">
        <v>65</v>
      </c>
      <c r="I1851" s="2" t="s">
        <v>4639</v>
      </c>
      <c r="J1851" s="3" t="str">
        <f>HYPERLINK("https://www.boe.es/gazeta/dias/1819/02/16/pdfs/GMD-1819-20.pdf#page=2","Abrir facsímil")</f>
        <v>Abrir facsímil</v>
      </c>
      <c r="K1851" s="3" t="s">
        <v>67</v>
      </c>
    </row>
    <row r="1852" spans="1:11" ht="42" customHeight="1">
      <c r="A1852" s="2" t="s">
        <v>4638</v>
      </c>
      <c r="B1852" s="2" t="s">
        <v>4638</v>
      </c>
      <c r="C1852" s="2" t="s">
        <v>80</v>
      </c>
      <c r="D1852" s="2" t="s">
        <v>81</v>
      </c>
      <c r="E1852" s="5">
        <v>-29360</v>
      </c>
      <c r="F1852" s="3" t="s">
        <v>182</v>
      </c>
      <c r="G1852" s="3" t="s">
        <v>38</v>
      </c>
      <c r="H1852" s="2" t="s">
        <v>65</v>
      </c>
      <c r="I1852" s="2" t="s">
        <v>4640</v>
      </c>
      <c r="J1852" s="3" t="str">
        <f>HYPERLINK("https://www.boe.es/gazeta/dias/1819/08/12/pdfs/GMD-1819-97.pdf#page=5","Abrir facsímil")</f>
        <v>Abrir facsímil</v>
      </c>
      <c r="K1852" s="3" t="s">
        <v>67</v>
      </c>
    </row>
    <row r="1853" spans="1:11" ht="42" customHeight="1">
      <c r="A1853" s="2" t="s">
        <v>4641</v>
      </c>
      <c r="B1853" s="2" t="s">
        <v>4642</v>
      </c>
      <c r="C1853" s="2" t="s">
        <v>80</v>
      </c>
      <c r="D1853" s="2" t="s">
        <v>81</v>
      </c>
      <c r="E1853" s="5">
        <v>-29407</v>
      </c>
      <c r="F1853" s="3" t="s">
        <v>64</v>
      </c>
      <c r="G1853" s="3" t="s">
        <v>55</v>
      </c>
      <c r="H1853" s="2" t="s">
        <v>21</v>
      </c>
      <c r="I1853" s="2" t="s">
        <v>4643</v>
      </c>
      <c r="J1853" s="3" t="str">
        <f>HYPERLINK("https://www.boe.es/gazeta/dias/1819/06/26/pdfs/GMD-1819-77.pdf#page=7","Abrir facsímil")</f>
        <v>Abrir facsímil</v>
      </c>
      <c r="K1853" s="3" t="s">
        <v>23</v>
      </c>
    </row>
    <row r="1854" spans="1:11" ht="42" customHeight="1">
      <c r="A1854" s="2" t="s">
        <v>4644</v>
      </c>
      <c r="B1854" s="2" t="s">
        <v>4645</v>
      </c>
      <c r="C1854" s="2" t="s">
        <v>136</v>
      </c>
      <c r="D1854" s="2" t="s">
        <v>18</v>
      </c>
      <c r="E1854" s="5">
        <v>-29348</v>
      </c>
      <c r="F1854" s="3" t="s">
        <v>227</v>
      </c>
      <c r="G1854" s="3" t="s">
        <v>55</v>
      </c>
      <c r="H1854" s="2" t="s">
        <v>21</v>
      </c>
      <c r="I1854" s="2" t="s">
        <v>4646</v>
      </c>
      <c r="J1854" s="3" t="str">
        <f>HYPERLINK("https://www.boe.es/gazeta/dias/1819/08/24/pdfs/GMD-1819-102.pdf#page=7","Abrir facsímil")</f>
        <v>Abrir facsímil</v>
      </c>
      <c r="K1854" s="3" t="s">
        <v>23</v>
      </c>
    </row>
    <row r="1855" spans="1:11" ht="42" customHeight="1">
      <c r="A1855" s="2" t="s">
        <v>4647</v>
      </c>
      <c r="B1855" s="2" t="s">
        <v>4648</v>
      </c>
      <c r="C1855" s="2" t="s">
        <v>80</v>
      </c>
      <c r="D1855" s="2" t="s">
        <v>81</v>
      </c>
      <c r="E1855" s="5">
        <v>-29253</v>
      </c>
      <c r="F1855" s="3" t="s">
        <v>242</v>
      </c>
      <c r="G1855" s="3" t="s">
        <v>1048</v>
      </c>
      <c r="H1855" s="2" t="s">
        <v>21</v>
      </c>
      <c r="I1855" s="2" t="s">
        <v>4649</v>
      </c>
      <c r="J1855" s="3" t="str">
        <f>HYPERLINK("https://www.boe.es/gazeta/dias/1819/11/27/pdfs/GMD-1819-146.pdf#page=5","Abrir facsímil")</f>
        <v>Abrir facsímil</v>
      </c>
      <c r="K1855" s="3" t="s">
        <v>23</v>
      </c>
    </row>
    <row r="1856" spans="1:11" ht="42" customHeight="1">
      <c r="A1856" s="2" t="s">
        <v>4650</v>
      </c>
      <c r="B1856" s="2" t="s">
        <v>4650</v>
      </c>
      <c r="C1856" s="2" t="s">
        <v>59</v>
      </c>
      <c r="D1856" s="2" t="s">
        <v>18</v>
      </c>
      <c r="E1856" s="5">
        <v>-29285</v>
      </c>
      <c r="F1856" s="3" t="s">
        <v>578</v>
      </c>
      <c r="G1856" s="3" t="s">
        <v>239</v>
      </c>
      <c r="H1856" s="2" t="s">
        <v>65</v>
      </c>
      <c r="I1856" s="2" t="s">
        <v>4651</v>
      </c>
      <c r="J1856" s="3" t="str">
        <f>HYPERLINK("https://www.boe.es/gazeta/dias/1819/10/26/pdfs/GMD-1819-132.pdf#page=1","Abrir facsímil")</f>
        <v>Abrir facsímil</v>
      </c>
      <c r="K1856" s="3" t="s">
        <v>67</v>
      </c>
    </row>
    <row r="1857" spans="1:11" ht="42" customHeight="1">
      <c r="A1857" s="2" t="s">
        <v>4652</v>
      </c>
      <c r="B1857" s="2" t="s">
        <v>4653</v>
      </c>
      <c r="C1857" s="2" t="s">
        <v>136</v>
      </c>
      <c r="D1857" s="2" t="s">
        <v>18</v>
      </c>
      <c r="E1857" s="5">
        <v>-29411</v>
      </c>
      <c r="F1857" s="3" t="s">
        <v>317</v>
      </c>
      <c r="G1857" s="3" t="s">
        <v>38</v>
      </c>
      <c r="H1857" s="2" t="s">
        <v>21</v>
      </c>
      <c r="I1857" s="2" t="s">
        <v>4654</v>
      </c>
      <c r="J1857" s="3" t="str">
        <f>HYPERLINK("https://www.boe.es/gazeta/dias/1819/06/22/pdfs/GMD-1819-75.pdf#page=5","Abrir facsímil")</f>
        <v>Abrir facsímil</v>
      </c>
      <c r="K1857" s="3" t="s">
        <v>23</v>
      </c>
    </row>
    <row r="1858" spans="1:11" ht="42" customHeight="1">
      <c r="A1858" s="2" t="s">
        <v>4655</v>
      </c>
      <c r="B1858" s="2" t="s">
        <v>4656</v>
      </c>
      <c r="C1858" s="2" t="s">
        <v>80</v>
      </c>
      <c r="D1858" s="2" t="s">
        <v>81</v>
      </c>
      <c r="E1858" s="5">
        <v>-29444</v>
      </c>
      <c r="F1858" s="3" t="s">
        <v>258</v>
      </c>
      <c r="G1858" s="3" t="s">
        <v>33</v>
      </c>
      <c r="H1858" s="2" t="s">
        <v>65</v>
      </c>
      <c r="I1858" s="2" t="s">
        <v>4657</v>
      </c>
      <c r="J1858" s="3" t="str">
        <f>HYPERLINK("https://www.boe.es/gazeta/dias/1819/05/20/pdfs/GMD-1819-60.pdf#page=6","Abrir facsímil")</f>
        <v>Abrir facsímil</v>
      </c>
      <c r="K1858" s="3" t="s">
        <v>67</v>
      </c>
    </row>
    <row r="1859" spans="1:11" ht="42" customHeight="1">
      <c r="A1859" s="2" t="s">
        <v>4658</v>
      </c>
      <c r="B1859" s="2" t="s">
        <v>4659</v>
      </c>
      <c r="C1859" s="2" t="s">
        <v>80</v>
      </c>
      <c r="D1859" s="2" t="s">
        <v>81</v>
      </c>
      <c r="E1859" s="5">
        <v>-29246</v>
      </c>
      <c r="F1859" s="3" t="s">
        <v>494</v>
      </c>
      <c r="G1859" s="3" t="s">
        <v>495</v>
      </c>
      <c r="H1859" s="2" t="s">
        <v>65</v>
      </c>
      <c r="I1859" s="2" t="s">
        <v>4660</v>
      </c>
      <c r="J1859" s="3" t="str">
        <f>HYPERLINK("https://www.boe.es/gazeta/dias/1819/12/04/pdfs/GMD-1819-149.pdf#page=6","Abrir facsímil")</f>
        <v>Abrir facsímil</v>
      </c>
      <c r="K1859" s="3" t="s">
        <v>67</v>
      </c>
    </row>
    <row r="1860" spans="1:11" ht="42" customHeight="1">
      <c r="A1860" s="2" t="s">
        <v>4661</v>
      </c>
      <c r="B1860" s="2" t="s">
        <v>4662</v>
      </c>
      <c r="C1860" s="2" t="s">
        <v>136</v>
      </c>
      <c r="D1860" s="2" t="s">
        <v>18</v>
      </c>
      <c r="E1860" s="5">
        <v>-29316</v>
      </c>
      <c r="F1860" s="3" t="s">
        <v>166</v>
      </c>
      <c r="G1860" s="3" t="s">
        <v>138</v>
      </c>
      <c r="H1860" s="2" t="s">
        <v>65</v>
      </c>
      <c r="I1860" s="2" t="s">
        <v>4663</v>
      </c>
      <c r="J1860" s="3" t="str">
        <f>HYPERLINK("https://www.boe.es/gazeta/dias/1819/09/25/pdfs/GMD-1819-118.pdf#page=12","Abrir facsímil")</f>
        <v>Abrir facsímil</v>
      </c>
      <c r="K1860" s="3" t="s">
        <v>67</v>
      </c>
    </row>
    <row r="1861" spans="1:11" ht="42" customHeight="1">
      <c r="A1861" s="2" t="s">
        <v>4664</v>
      </c>
      <c r="B1861" s="2" t="s">
        <v>4664</v>
      </c>
      <c r="C1861" s="2" t="s">
        <v>59</v>
      </c>
      <c r="D1861" s="2" t="s">
        <v>18</v>
      </c>
      <c r="E1861" s="5">
        <v>-29393</v>
      </c>
      <c r="F1861" s="3" t="s">
        <v>536</v>
      </c>
      <c r="G1861" s="3" t="s">
        <v>38</v>
      </c>
      <c r="H1861" s="2" t="s">
        <v>65</v>
      </c>
      <c r="I1861" s="2" t="s">
        <v>4665</v>
      </c>
      <c r="J1861" s="3" t="str">
        <f>HYPERLINK("https://www.boe.es/gazeta/dias/1819/07/10/pdfs/GMD-1819-83.pdf#page=5","Abrir facsímil")</f>
        <v>Abrir facsímil</v>
      </c>
      <c r="K1861" s="3" t="s">
        <v>67</v>
      </c>
    </row>
    <row r="1862" spans="1:11" ht="42" customHeight="1">
      <c r="A1862" s="2" t="s">
        <v>4666</v>
      </c>
      <c r="B1862" s="2" t="s">
        <v>4666</v>
      </c>
      <c r="C1862" s="2" t="s">
        <v>80</v>
      </c>
      <c r="D1862" s="2" t="s">
        <v>81</v>
      </c>
      <c r="E1862" s="5">
        <v>-29530</v>
      </c>
      <c r="F1862" s="3" t="s">
        <v>202</v>
      </c>
      <c r="G1862" s="3" t="s">
        <v>33</v>
      </c>
      <c r="H1862" s="2" t="s">
        <v>65</v>
      </c>
      <c r="I1862" s="2" t="s">
        <v>4667</v>
      </c>
      <c r="J1862" s="3" t="str">
        <f>HYPERLINK("https://www.boe.es/gazeta/dias/1819/02/23/pdfs/GMD-1819-23.pdf#page=6","Abrir facsímil")</f>
        <v>Abrir facsímil</v>
      </c>
      <c r="K1862" s="3" t="s">
        <v>67</v>
      </c>
    </row>
    <row r="1863" spans="1:11" ht="42" customHeight="1">
      <c r="A1863" s="2" t="s">
        <v>4666</v>
      </c>
      <c r="B1863" s="2" t="s">
        <v>4666</v>
      </c>
      <c r="C1863" s="2" t="s">
        <v>80</v>
      </c>
      <c r="D1863" s="2" t="s">
        <v>81</v>
      </c>
      <c r="E1863" s="5">
        <v>-29449</v>
      </c>
      <c r="F1863" s="3" t="s">
        <v>771</v>
      </c>
      <c r="G1863" s="3" t="s">
        <v>38</v>
      </c>
      <c r="H1863" s="2" t="s">
        <v>65</v>
      </c>
      <c r="I1863" s="2" t="s">
        <v>4668</v>
      </c>
      <c r="J1863" s="3" t="str">
        <f>HYPERLINK("https://www.boe.es/gazeta/dias/1819/05/15/pdfs/GMD-1819-58.pdf#page=5","Abrir facsímil")</f>
        <v>Abrir facsímil</v>
      </c>
      <c r="K1863" s="3" t="s">
        <v>67</v>
      </c>
    </row>
    <row r="1864" spans="1:11" ht="42" customHeight="1">
      <c r="A1864" s="2" t="s">
        <v>4666</v>
      </c>
      <c r="B1864" s="2" t="s">
        <v>4666</v>
      </c>
      <c r="C1864" s="2" t="s">
        <v>80</v>
      </c>
      <c r="D1864" s="2" t="s">
        <v>81</v>
      </c>
      <c r="E1864" s="5">
        <v>-29442</v>
      </c>
      <c r="F1864" s="3" t="s">
        <v>427</v>
      </c>
      <c r="G1864" s="3" t="s">
        <v>38</v>
      </c>
      <c r="H1864" s="2" t="s">
        <v>65</v>
      </c>
      <c r="I1864" s="2" t="s">
        <v>4669</v>
      </c>
      <c r="J1864" s="3" t="str">
        <f>HYPERLINK("https://www.boe.es/gazeta/dias/1819/05/22/pdfs/GMD-1819-61.pdf#page=5","Abrir facsímil")</f>
        <v>Abrir facsímil</v>
      </c>
      <c r="K1864" s="3" t="s">
        <v>67</v>
      </c>
    </row>
    <row r="1865" spans="1:11" ht="42" customHeight="1">
      <c r="A1865" s="2" t="s">
        <v>4666</v>
      </c>
      <c r="B1865" s="2" t="s">
        <v>4666</v>
      </c>
      <c r="C1865" s="2" t="s">
        <v>80</v>
      </c>
      <c r="D1865" s="2" t="s">
        <v>81</v>
      </c>
      <c r="E1865" s="5">
        <v>-29416</v>
      </c>
      <c r="F1865" s="3" t="s">
        <v>251</v>
      </c>
      <c r="G1865" s="3" t="s">
        <v>38</v>
      </c>
      <c r="H1865" s="2" t="s">
        <v>65</v>
      </c>
      <c r="I1865" s="2" t="s">
        <v>4670</v>
      </c>
      <c r="J1865" s="3" t="str">
        <f>HYPERLINK("https://www.boe.es/gazeta/dias/1819/06/17/pdfs/GMD-1819-73.pdf#page=5","Abrir facsímil")</f>
        <v>Abrir facsímil</v>
      </c>
      <c r="K1865" s="3" t="s">
        <v>67</v>
      </c>
    </row>
    <row r="1866" spans="1:11" ht="42" customHeight="1">
      <c r="A1866" s="2" t="s">
        <v>4666</v>
      </c>
      <c r="B1866" s="2" t="s">
        <v>4666</v>
      </c>
      <c r="C1866" s="2" t="s">
        <v>80</v>
      </c>
      <c r="D1866" s="2" t="s">
        <v>81</v>
      </c>
      <c r="E1866" s="5">
        <v>-29369</v>
      </c>
      <c r="F1866" s="3" t="s">
        <v>231</v>
      </c>
      <c r="G1866" s="3" t="s">
        <v>296</v>
      </c>
      <c r="H1866" s="2" t="s">
        <v>65</v>
      </c>
      <c r="I1866" s="2" t="s">
        <v>4671</v>
      </c>
      <c r="J1866" s="3" t="str">
        <f>HYPERLINK("https://www.boe.es/gazeta/dias/1819/08/03/pdfs/GMD-1819-93.pdf#page=4","Abrir facsímil")</f>
        <v>Abrir facsímil</v>
      </c>
      <c r="K1866" s="3" t="s">
        <v>67</v>
      </c>
    </row>
    <row r="1867" spans="1:11" ht="42" customHeight="1">
      <c r="A1867" s="2" t="s">
        <v>4666</v>
      </c>
      <c r="B1867" s="2" t="s">
        <v>4666</v>
      </c>
      <c r="C1867" s="2" t="s">
        <v>80</v>
      </c>
      <c r="D1867" s="2" t="s">
        <v>81</v>
      </c>
      <c r="E1867" s="5">
        <v>-29309</v>
      </c>
      <c r="F1867" s="3" t="s">
        <v>476</v>
      </c>
      <c r="G1867" s="3" t="s">
        <v>296</v>
      </c>
      <c r="H1867" s="2" t="s">
        <v>65</v>
      </c>
      <c r="I1867" s="2" t="s">
        <v>4672</v>
      </c>
      <c r="J1867" s="3" t="str">
        <f>HYPERLINK("https://www.boe.es/gazeta/dias/1819/10/02/pdfs/GMD-1819-121.pdf#page=4","Abrir facsímil")</f>
        <v>Abrir facsímil</v>
      </c>
      <c r="K1867" s="3" t="s">
        <v>67</v>
      </c>
    </row>
    <row r="1868" spans="1:11" ht="42" customHeight="1">
      <c r="A1868" s="2" t="s">
        <v>4673</v>
      </c>
      <c r="B1868" s="2" t="s">
        <v>4674</v>
      </c>
      <c r="C1868" s="2" t="s">
        <v>80</v>
      </c>
      <c r="D1868" s="2" t="s">
        <v>81</v>
      </c>
      <c r="E1868" s="5">
        <v>-29341</v>
      </c>
      <c r="F1868" s="3" t="s">
        <v>806</v>
      </c>
      <c r="G1868" s="3" t="s">
        <v>3754</v>
      </c>
      <c r="H1868" s="2" t="s">
        <v>65</v>
      </c>
      <c r="I1868" s="2" t="s">
        <v>4675</v>
      </c>
      <c r="J1868" s="3" t="str">
        <f>HYPERLINK("https://www.boe.es/gazeta/dias/1819/08/31/pdfs/GMD-1819-105.pdf#page=7","Abrir facsímil")</f>
        <v>Abrir facsímil</v>
      </c>
      <c r="K1868" s="3" t="s">
        <v>67</v>
      </c>
    </row>
    <row r="1869" spans="1:11" ht="42" customHeight="1">
      <c r="A1869" s="2" t="s">
        <v>4676</v>
      </c>
      <c r="B1869" s="2" t="s">
        <v>4676</v>
      </c>
      <c r="C1869" s="2" t="s">
        <v>80</v>
      </c>
      <c r="D1869" s="2" t="s">
        <v>454</v>
      </c>
      <c r="E1869" s="5">
        <v>-29287</v>
      </c>
      <c r="F1869" s="3" t="s">
        <v>455</v>
      </c>
      <c r="G1869" s="3" t="s">
        <v>481</v>
      </c>
      <c r="H1869" s="2" t="s">
        <v>65</v>
      </c>
      <c r="I1869" s="2" t="s">
        <v>4677</v>
      </c>
      <c r="J1869" s="3" t="str">
        <f>HYPERLINK("https://www.boe.es/gazeta/dias/1819/10/24/pdfs/GMD-1819-131E.pdf#page=8","Abrir facsímil")</f>
        <v>Abrir facsímil</v>
      </c>
      <c r="K1869" s="3" t="s">
        <v>67</v>
      </c>
    </row>
    <row r="1870" spans="1:11" ht="42" customHeight="1">
      <c r="A1870" s="2" t="s">
        <v>4678</v>
      </c>
      <c r="B1870" s="2" t="s">
        <v>4678</v>
      </c>
      <c r="C1870" s="2" t="s">
        <v>80</v>
      </c>
      <c r="D1870" s="2" t="s">
        <v>81</v>
      </c>
      <c r="E1870" s="5">
        <v>-29267</v>
      </c>
      <c r="F1870" s="3" t="s">
        <v>370</v>
      </c>
      <c r="G1870" s="3" t="s">
        <v>94</v>
      </c>
      <c r="H1870" s="2" t="s">
        <v>65</v>
      </c>
      <c r="I1870" s="2" t="s">
        <v>4679</v>
      </c>
      <c r="J1870" s="3" t="str">
        <f>HYPERLINK("https://www.boe.es/gazeta/dias/1819/11/13/pdfs/GMD-1819-140.pdf#page=11","Abrir facsímil")</f>
        <v>Abrir facsímil</v>
      </c>
      <c r="K1870" s="3" t="s">
        <v>67</v>
      </c>
    </row>
    <row r="1871" spans="1:11" ht="42" customHeight="1">
      <c r="A1871" s="2" t="s">
        <v>4680</v>
      </c>
      <c r="B1871" s="2" t="s">
        <v>4681</v>
      </c>
      <c r="C1871" s="2" t="s">
        <v>80</v>
      </c>
      <c r="D1871" s="2" t="s">
        <v>81</v>
      </c>
      <c r="E1871" s="5">
        <v>-29486</v>
      </c>
      <c r="F1871" s="3" t="s">
        <v>330</v>
      </c>
      <c r="G1871" s="3" t="s">
        <v>296</v>
      </c>
      <c r="H1871" s="2" t="s">
        <v>65</v>
      </c>
      <c r="I1871" s="2" t="s">
        <v>4682</v>
      </c>
      <c r="J1871" s="3" t="str">
        <f>HYPERLINK("https://www.boe.es/gazeta/dias/1819/04/08/pdfs/GMD-1819-42.pdf#page=4","Abrir facsímil")</f>
        <v>Abrir facsímil</v>
      </c>
      <c r="K1871" s="3" t="s">
        <v>67</v>
      </c>
    </row>
    <row r="1872" spans="1:11" ht="42" customHeight="1">
      <c r="A1872" s="2" t="s">
        <v>4683</v>
      </c>
      <c r="B1872" s="2" t="s">
        <v>4683</v>
      </c>
      <c r="C1872" s="2" t="s">
        <v>26</v>
      </c>
      <c r="D1872" s="2" t="s">
        <v>18</v>
      </c>
      <c r="E1872" s="5">
        <v>-29542</v>
      </c>
      <c r="F1872" s="3" t="s">
        <v>607</v>
      </c>
      <c r="G1872" s="3" t="s">
        <v>138</v>
      </c>
      <c r="H1872" s="2" t="s">
        <v>65</v>
      </c>
      <c r="I1872" s="2" t="s">
        <v>4684</v>
      </c>
      <c r="J1872" s="3" t="str">
        <f>HYPERLINK("https://www.boe.es/gazeta/dias/1819/02/11/pdfs/GMD-1819-18.pdf#page=12","Abrir facsímil")</f>
        <v>Abrir facsímil</v>
      </c>
      <c r="K1872" s="3" t="s">
        <v>67</v>
      </c>
    </row>
    <row r="1873" spans="1:11" ht="42" customHeight="1">
      <c r="A1873" s="2" t="s">
        <v>4683</v>
      </c>
      <c r="B1873" s="2" t="s">
        <v>4683</v>
      </c>
      <c r="C1873" s="2" t="s">
        <v>59</v>
      </c>
      <c r="D1873" s="2" t="s">
        <v>18</v>
      </c>
      <c r="E1873" s="5">
        <v>-29523</v>
      </c>
      <c r="F1873" s="3" t="s">
        <v>436</v>
      </c>
      <c r="G1873" s="3" t="s">
        <v>28</v>
      </c>
      <c r="H1873" s="2" t="s">
        <v>65</v>
      </c>
      <c r="I1873" s="2" t="s">
        <v>4685</v>
      </c>
      <c r="J1873" s="3" t="str">
        <f>HYPERLINK("https://www.boe.es/gazeta/dias/1819/03/02/pdfs/GMD-1819-26.pdf#page=8","Abrir facsímil")</f>
        <v>Abrir facsímil</v>
      </c>
      <c r="K1873" s="3" t="s">
        <v>67</v>
      </c>
    </row>
    <row r="1874" spans="1:11" ht="42" customHeight="1">
      <c r="A1874" s="2" t="s">
        <v>4683</v>
      </c>
      <c r="B1874" s="2" t="s">
        <v>4683</v>
      </c>
      <c r="C1874" s="2" t="s">
        <v>136</v>
      </c>
      <c r="D1874" s="2" t="s">
        <v>18</v>
      </c>
      <c r="E1874" s="5">
        <v>-29488</v>
      </c>
      <c r="F1874" s="3" t="s">
        <v>27</v>
      </c>
      <c r="G1874" s="3" t="s">
        <v>28</v>
      </c>
      <c r="H1874" s="2" t="s">
        <v>65</v>
      </c>
      <c r="I1874" s="2" t="s">
        <v>4686</v>
      </c>
      <c r="J1874" s="3" t="str">
        <f>HYPERLINK("https://www.boe.es/gazeta/dias/1819/04/06/pdfs/GMD-1819-41.pdf#page=8","Abrir facsímil")</f>
        <v>Abrir facsímil</v>
      </c>
      <c r="K1874" s="3" t="s">
        <v>67</v>
      </c>
    </row>
    <row r="1875" spans="1:11" ht="42" customHeight="1">
      <c r="A1875" s="2" t="s">
        <v>4683</v>
      </c>
      <c r="B1875" s="2" t="s">
        <v>4683</v>
      </c>
      <c r="C1875" s="2" t="s">
        <v>26</v>
      </c>
      <c r="D1875" s="2" t="s">
        <v>18</v>
      </c>
      <c r="E1875" s="5">
        <v>-29486</v>
      </c>
      <c r="F1875" s="3" t="s">
        <v>330</v>
      </c>
      <c r="G1875" s="3" t="s">
        <v>28</v>
      </c>
      <c r="H1875" s="2" t="s">
        <v>65</v>
      </c>
      <c r="I1875" s="2" t="s">
        <v>4687</v>
      </c>
      <c r="J1875" s="3" t="str">
        <f>HYPERLINK("https://www.boe.es/gazeta/dias/1819/04/08/pdfs/GMD-1819-42.pdf#page=8","Abrir facsímil")</f>
        <v>Abrir facsímil</v>
      </c>
      <c r="K1875" s="3" t="s">
        <v>67</v>
      </c>
    </row>
    <row r="1876" spans="1:11" ht="42" customHeight="1">
      <c r="A1876" s="2" t="s">
        <v>4683</v>
      </c>
      <c r="B1876" s="2" t="s">
        <v>4683</v>
      </c>
      <c r="C1876" s="2" t="s">
        <v>26</v>
      </c>
      <c r="D1876" s="2" t="s">
        <v>18</v>
      </c>
      <c r="E1876" s="5">
        <v>-29267</v>
      </c>
      <c r="F1876" s="3" t="s">
        <v>370</v>
      </c>
      <c r="G1876" s="3" t="s">
        <v>33</v>
      </c>
      <c r="H1876" s="2" t="s">
        <v>65</v>
      </c>
      <c r="I1876" s="2" t="s">
        <v>4688</v>
      </c>
      <c r="J1876" s="3" t="str">
        <f>HYPERLINK("https://www.boe.es/gazeta/dias/1819/11/13/pdfs/GMD-1819-140.pdf#page=6","Abrir facsímil")</f>
        <v>Abrir facsímil</v>
      </c>
      <c r="K1876" s="3" t="s">
        <v>67</v>
      </c>
    </row>
    <row r="1877" spans="1:11" ht="42" customHeight="1">
      <c r="A1877" s="2" t="s">
        <v>4689</v>
      </c>
      <c r="B1877" s="2" t="s">
        <v>4689</v>
      </c>
      <c r="C1877" s="2" t="s">
        <v>80</v>
      </c>
      <c r="D1877" s="2" t="s">
        <v>81</v>
      </c>
      <c r="E1877" s="5">
        <v>-29264</v>
      </c>
      <c r="F1877" s="3" t="s">
        <v>37</v>
      </c>
      <c r="G1877" s="3" t="s">
        <v>456</v>
      </c>
      <c r="H1877" s="2" t="s">
        <v>65</v>
      </c>
      <c r="I1877" s="2" t="s">
        <v>4690</v>
      </c>
      <c r="J1877" s="3" t="str">
        <f>HYPERLINK("https://www.boe.es/gazeta/dias/1819/11/16/pdfs/GMD-1819-141.pdf#page=9","Abrir facsímil")</f>
        <v>Abrir facsímil</v>
      </c>
      <c r="K1877" s="3" t="s">
        <v>67</v>
      </c>
    </row>
    <row r="1878" spans="1:11" ht="42" customHeight="1">
      <c r="A1878" s="2" t="s">
        <v>4691</v>
      </c>
      <c r="B1878" s="2" t="s">
        <v>4691</v>
      </c>
      <c r="C1878" s="2" t="s">
        <v>63</v>
      </c>
      <c r="D1878" s="2" t="s">
        <v>43</v>
      </c>
      <c r="E1878" s="5">
        <v>-29400</v>
      </c>
      <c r="F1878" s="3" t="s">
        <v>2181</v>
      </c>
      <c r="G1878" s="3" t="s">
        <v>38</v>
      </c>
      <c r="H1878" s="2" t="s">
        <v>65</v>
      </c>
      <c r="I1878" s="2" t="s">
        <v>4692</v>
      </c>
      <c r="J1878" s="3" t="str">
        <f>HYPERLINK("https://www.boe.es/gazeta/dias/1819/07/03/pdfs/GMD-1819-80.pdf#page=5","Abrir facsímil")</f>
        <v>Abrir facsímil</v>
      </c>
      <c r="K1878" s="3" t="s">
        <v>67</v>
      </c>
    </row>
    <row r="1879" spans="1:11" ht="42" customHeight="1">
      <c r="A1879" s="2" t="s">
        <v>4693</v>
      </c>
      <c r="B1879" s="2" t="s">
        <v>4693</v>
      </c>
      <c r="C1879" s="2" t="s">
        <v>80</v>
      </c>
      <c r="D1879" s="2" t="s">
        <v>81</v>
      </c>
      <c r="E1879" s="5">
        <v>-29404</v>
      </c>
      <c r="F1879" s="3" t="s">
        <v>1939</v>
      </c>
      <c r="G1879" s="3" t="s">
        <v>55</v>
      </c>
      <c r="H1879" s="2" t="s">
        <v>65</v>
      </c>
      <c r="I1879" s="2" t="s">
        <v>4694</v>
      </c>
      <c r="J1879" s="3" t="str">
        <f>HYPERLINK("https://www.boe.es/gazeta/dias/1819/06/29/pdfs/GMD-1819-78.pdf#page=7","Abrir facsímil")</f>
        <v>Abrir facsímil</v>
      </c>
      <c r="K1879" s="3" t="s">
        <v>67</v>
      </c>
    </row>
    <row r="1880" spans="1:11" ht="42" customHeight="1">
      <c r="A1880" s="2" t="s">
        <v>4695</v>
      </c>
      <c r="B1880" s="2" t="s">
        <v>4696</v>
      </c>
      <c r="C1880" s="2" t="s">
        <v>59</v>
      </c>
      <c r="D1880" s="2" t="s">
        <v>18</v>
      </c>
      <c r="E1880" s="5">
        <v>-29358</v>
      </c>
      <c r="F1880" s="3" t="s">
        <v>170</v>
      </c>
      <c r="G1880" s="3" t="s">
        <v>38</v>
      </c>
      <c r="H1880" s="2" t="s">
        <v>65</v>
      </c>
      <c r="I1880" s="2" t="s">
        <v>4697</v>
      </c>
      <c r="J1880" s="3" t="str">
        <f>HYPERLINK("https://www.boe.es/gazeta/dias/1819/08/14/pdfs/GMD-1819-98.pdf#page=5","Abrir facsímil")</f>
        <v>Abrir facsímil</v>
      </c>
      <c r="K1880" s="3" t="s">
        <v>67</v>
      </c>
    </row>
    <row r="1881" spans="1:11" ht="42" customHeight="1">
      <c r="A1881" s="2" t="s">
        <v>4698</v>
      </c>
      <c r="B1881" s="2" t="s">
        <v>4698</v>
      </c>
      <c r="C1881" s="2" t="s">
        <v>80</v>
      </c>
      <c r="D1881" s="2" t="s">
        <v>81</v>
      </c>
      <c r="E1881" s="5">
        <v>-29304</v>
      </c>
      <c r="F1881" s="3" t="s">
        <v>519</v>
      </c>
      <c r="G1881" s="3" t="s">
        <v>38</v>
      </c>
      <c r="H1881" s="2" t="s">
        <v>65</v>
      </c>
      <c r="I1881" s="2" t="s">
        <v>4699</v>
      </c>
      <c r="J1881" s="3" t="str">
        <f>HYPERLINK("https://www.boe.es/gazeta/dias/1819/10/07/pdfs/GMD-1819-123.pdf#page=5","Abrir facsímil")</f>
        <v>Abrir facsímil</v>
      </c>
      <c r="K1881" s="3" t="s">
        <v>67</v>
      </c>
    </row>
    <row r="1882" spans="1:11" ht="42" customHeight="1">
      <c r="A1882" s="2" t="s">
        <v>4700</v>
      </c>
      <c r="B1882" s="2" t="s">
        <v>4701</v>
      </c>
      <c r="C1882" s="2" t="s">
        <v>17</v>
      </c>
      <c r="D1882" s="2" t="s">
        <v>18</v>
      </c>
      <c r="E1882" s="5">
        <v>-29257</v>
      </c>
      <c r="F1882" s="3" t="s">
        <v>73</v>
      </c>
      <c r="G1882" s="3" t="s">
        <v>33</v>
      </c>
      <c r="H1882" s="2" t="s">
        <v>21</v>
      </c>
      <c r="I1882" s="2" t="s">
        <v>4702</v>
      </c>
      <c r="J1882" s="3" t="str">
        <f>HYPERLINK("https://www.boe.es/gazeta/dias/1819/11/23/pdfs/GMD-1819-144.pdf#page=6","Abrir facsímil")</f>
        <v>Abrir facsímil</v>
      </c>
      <c r="K1882" s="3" t="s">
        <v>23</v>
      </c>
    </row>
    <row r="1883" spans="1:11" ht="42" customHeight="1">
      <c r="A1883" s="2" t="s">
        <v>4703</v>
      </c>
      <c r="B1883" s="2" t="s">
        <v>4703</v>
      </c>
      <c r="C1883" s="2" t="s">
        <v>17</v>
      </c>
      <c r="D1883" s="2" t="s">
        <v>18</v>
      </c>
      <c r="E1883" s="5">
        <v>-29264</v>
      </c>
      <c r="F1883" s="3" t="s">
        <v>37</v>
      </c>
      <c r="G1883" s="3" t="s">
        <v>38</v>
      </c>
      <c r="H1883" s="2" t="s">
        <v>65</v>
      </c>
      <c r="I1883" s="2" t="s">
        <v>4704</v>
      </c>
      <c r="J1883" s="3" t="str">
        <f>HYPERLINK("https://www.boe.es/gazeta/dias/1819/11/16/pdfs/GMD-1819-141.pdf#page=5","Abrir facsímil")</f>
        <v>Abrir facsímil</v>
      </c>
      <c r="K1883" s="3" t="s">
        <v>67</v>
      </c>
    </row>
    <row r="1884" spans="1:11" ht="42" customHeight="1">
      <c r="A1884" s="2" t="s">
        <v>4705</v>
      </c>
      <c r="B1884" s="2" t="s">
        <v>4705</v>
      </c>
      <c r="C1884" s="2" t="s">
        <v>80</v>
      </c>
      <c r="D1884" s="2" t="s">
        <v>81</v>
      </c>
      <c r="E1884" s="5">
        <v>-29575</v>
      </c>
      <c r="F1884" s="3" t="s">
        <v>77</v>
      </c>
      <c r="G1884" s="3" t="s">
        <v>55</v>
      </c>
      <c r="H1884" s="2" t="s">
        <v>65</v>
      </c>
      <c r="I1884" s="2" t="s">
        <v>4706</v>
      </c>
      <c r="J1884" s="3" t="str">
        <f>HYPERLINK("https://www.boe.es/gazeta/dias/1819/01/09/pdfs/GMD-1819-4.pdf#page=7","Abrir facsímil")</f>
        <v>Abrir facsímil</v>
      </c>
      <c r="K1884" s="3" t="s">
        <v>67</v>
      </c>
    </row>
    <row r="1885" spans="1:11" ht="42" customHeight="1">
      <c r="A1885" s="2" t="s">
        <v>4707</v>
      </c>
      <c r="B1885" s="2" t="s">
        <v>4707</v>
      </c>
      <c r="C1885" s="2" t="s">
        <v>80</v>
      </c>
      <c r="D1885" s="2" t="s">
        <v>81</v>
      </c>
      <c r="E1885" s="5">
        <v>-29549</v>
      </c>
      <c r="F1885" s="3" t="s">
        <v>124</v>
      </c>
      <c r="G1885" s="3" t="s">
        <v>38</v>
      </c>
      <c r="H1885" s="2" t="s">
        <v>65</v>
      </c>
      <c r="I1885" s="2" t="s">
        <v>4708</v>
      </c>
      <c r="J1885" s="3" t="str">
        <f>HYPERLINK("https://www.boe.es/gazeta/dias/1819/02/04/pdfs/GMD-1819-15.pdf#page=5","Abrir facsímil")</f>
        <v>Abrir facsímil</v>
      </c>
      <c r="K1885" s="3" t="s">
        <v>67</v>
      </c>
    </row>
    <row r="1886" spans="1:11" ht="42" customHeight="1">
      <c r="A1886" s="2" t="s">
        <v>4705</v>
      </c>
      <c r="B1886" s="2" t="s">
        <v>4705</v>
      </c>
      <c r="C1886" s="2" t="s">
        <v>215</v>
      </c>
      <c r="D1886" s="2" t="s">
        <v>18</v>
      </c>
      <c r="E1886" s="5">
        <v>-29456</v>
      </c>
      <c r="F1886" s="3" t="s">
        <v>468</v>
      </c>
      <c r="G1886" s="3" t="s">
        <v>28</v>
      </c>
      <c r="H1886" s="2" t="s">
        <v>65</v>
      </c>
      <c r="I1886" s="2" t="s">
        <v>4709</v>
      </c>
      <c r="J1886" s="3" t="str">
        <f>HYPERLINK("https://www.boe.es/gazeta/dias/1819/05/08/pdfs/GMD-1819-55.pdf#page=8","Abrir facsímil")</f>
        <v>Abrir facsímil</v>
      </c>
      <c r="K1886" s="3" t="s">
        <v>67</v>
      </c>
    </row>
    <row r="1887" spans="1:11" ht="42" customHeight="1">
      <c r="A1887" s="2" t="s">
        <v>4705</v>
      </c>
      <c r="B1887" s="2" t="s">
        <v>4705</v>
      </c>
      <c r="C1887" s="2" t="s">
        <v>63</v>
      </c>
      <c r="D1887" s="2" t="s">
        <v>43</v>
      </c>
      <c r="E1887" s="5">
        <v>-29395</v>
      </c>
      <c r="F1887" s="3" t="s">
        <v>684</v>
      </c>
      <c r="G1887" s="3" t="s">
        <v>685</v>
      </c>
      <c r="H1887" s="2" t="s">
        <v>65</v>
      </c>
      <c r="I1887" s="2" t="s">
        <v>4710</v>
      </c>
      <c r="J1887" s="3" t="str">
        <f>HYPERLINK("https://www.boe.es/gazeta/dias/1819/07/08/pdfs/GMD-1819-82.pdf#page=8","Abrir facsímil")</f>
        <v>Abrir facsímil</v>
      </c>
      <c r="K1887" s="3" t="s">
        <v>67</v>
      </c>
    </row>
    <row r="1888" spans="1:11" ht="42" customHeight="1">
      <c r="A1888" s="2" t="s">
        <v>4705</v>
      </c>
      <c r="B1888" s="2" t="s">
        <v>4705</v>
      </c>
      <c r="C1888" s="2" t="s">
        <v>63</v>
      </c>
      <c r="D1888" s="2" t="s">
        <v>43</v>
      </c>
      <c r="E1888" s="5">
        <v>-29393</v>
      </c>
      <c r="F1888" s="3" t="s">
        <v>536</v>
      </c>
      <c r="G1888" s="3" t="s">
        <v>28</v>
      </c>
      <c r="H1888" s="2" t="s">
        <v>65</v>
      </c>
      <c r="I1888" s="2" t="s">
        <v>4711</v>
      </c>
      <c r="J1888" s="3" t="str">
        <f>HYPERLINK("https://www.boe.es/gazeta/dias/1819/07/10/pdfs/GMD-1819-83.pdf#page=8","Abrir facsímil")</f>
        <v>Abrir facsímil</v>
      </c>
      <c r="K1888" s="3" t="s">
        <v>67</v>
      </c>
    </row>
    <row r="1889" spans="1:11" ht="42" customHeight="1">
      <c r="A1889" s="2" t="s">
        <v>4705</v>
      </c>
      <c r="B1889" s="2" t="s">
        <v>4705</v>
      </c>
      <c r="C1889" s="2" t="s">
        <v>63</v>
      </c>
      <c r="D1889" s="2" t="s">
        <v>454</v>
      </c>
      <c r="E1889" s="5">
        <v>-29287</v>
      </c>
      <c r="F1889" s="3" t="s">
        <v>455</v>
      </c>
      <c r="G1889" s="3" t="s">
        <v>481</v>
      </c>
      <c r="H1889" s="2" t="s">
        <v>65</v>
      </c>
      <c r="I1889" s="2" t="s">
        <v>4712</v>
      </c>
      <c r="J1889" s="3" t="str">
        <f>HYPERLINK("https://www.boe.es/gazeta/dias/1819/10/24/pdfs/GMD-1819-131E.pdf#page=8","Abrir facsímil")</f>
        <v>Abrir facsímil</v>
      </c>
      <c r="K1889" s="3" t="s">
        <v>67</v>
      </c>
    </row>
    <row r="1890" spans="1:11" ht="42" customHeight="1">
      <c r="A1890" s="2" t="s">
        <v>4705</v>
      </c>
      <c r="B1890" s="2" t="s">
        <v>4705</v>
      </c>
      <c r="C1890" s="2" t="s">
        <v>59</v>
      </c>
      <c r="D1890" s="2" t="s">
        <v>18</v>
      </c>
      <c r="E1890" s="5">
        <v>-29285</v>
      </c>
      <c r="F1890" s="3" t="s">
        <v>578</v>
      </c>
      <c r="G1890" s="3" t="s">
        <v>28</v>
      </c>
      <c r="H1890" s="2" t="s">
        <v>65</v>
      </c>
      <c r="I1890" s="2" t="s">
        <v>4713</v>
      </c>
      <c r="J1890" s="3" t="str">
        <f>HYPERLINK("https://www.boe.es/gazeta/dias/1819/10/26/pdfs/GMD-1819-132.pdf#page=8","Abrir facsímil")</f>
        <v>Abrir facsímil</v>
      </c>
      <c r="K1890" s="3" t="s">
        <v>67</v>
      </c>
    </row>
    <row r="1891" spans="1:11" ht="42" customHeight="1">
      <c r="A1891" s="2" t="s">
        <v>4705</v>
      </c>
      <c r="B1891" s="2" t="s">
        <v>4705</v>
      </c>
      <c r="C1891" s="2" t="s">
        <v>63</v>
      </c>
      <c r="D1891" s="2" t="s">
        <v>43</v>
      </c>
      <c r="E1891" s="5">
        <v>-29281</v>
      </c>
      <c r="F1891" s="3" t="s">
        <v>19</v>
      </c>
      <c r="G1891" s="3" t="s">
        <v>55</v>
      </c>
      <c r="H1891" s="2" t="s">
        <v>65</v>
      </c>
      <c r="I1891" s="2" t="s">
        <v>4714</v>
      </c>
      <c r="J1891" s="3" t="str">
        <f>HYPERLINK("https://www.boe.es/gazeta/dias/1819/10/30/pdfs/GMD-1819-134.pdf#page=7","Abrir facsímil")</f>
        <v>Abrir facsímil</v>
      </c>
      <c r="K1891" s="3" t="s">
        <v>67</v>
      </c>
    </row>
    <row r="1892" spans="1:11" ht="42" customHeight="1">
      <c r="A1892" s="2" t="s">
        <v>4705</v>
      </c>
      <c r="B1892" s="2" t="s">
        <v>4705</v>
      </c>
      <c r="C1892" s="2" t="s">
        <v>80</v>
      </c>
      <c r="D1892" s="2" t="s">
        <v>81</v>
      </c>
      <c r="E1892" s="5">
        <v>-29260</v>
      </c>
      <c r="F1892" s="3" t="s">
        <v>93</v>
      </c>
      <c r="G1892" s="3" t="s">
        <v>1275</v>
      </c>
      <c r="H1892" s="2" t="s">
        <v>65</v>
      </c>
      <c r="I1892" s="2" t="s">
        <v>4715</v>
      </c>
      <c r="J1892" s="3" t="str">
        <f>HYPERLINK("https://www.boe.es/gazeta/dias/1819/11/20/pdfs/GMD-1819-143.pdf#page=10","Abrir facsímil")</f>
        <v>Abrir facsímil</v>
      </c>
      <c r="K1892" s="3" t="s">
        <v>67</v>
      </c>
    </row>
    <row r="1893" spans="1:11" ht="42" customHeight="1">
      <c r="A1893" s="2" t="s">
        <v>4716</v>
      </c>
      <c r="B1893" s="2" t="s">
        <v>4717</v>
      </c>
      <c r="C1893" s="2" t="s">
        <v>63</v>
      </c>
      <c r="D1893" s="2" t="s">
        <v>43</v>
      </c>
      <c r="E1893" s="5">
        <v>-29514</v>
      </c>
      <c r="F1893" s="3" t="s">
        <v>595</v>
      </c>
      <c r="G1893" s="3" t="s">
        <v>55</v>
      </c>
      <c r="H1893" s="2" t="s">
        <v>65</v>
      </c>
      <c r="I1893" s="2" t="s">
        <v>4718</v>
      </c>
      <c r="J1893" s="3" t="str">
        <f>HYPERLINK("https://www.boe.es/gazeta/dias/1819/03/11/pdfs/GMD-1819-30.pdf#page=7","Abrir facsímil")</f>
        <v>Abrir facsímil</v>
      </c>
      <c r="K1893" s="3" t="s">
        <v>67</v>
      </c>
    </row>
    <row r="1894" spans="1:11" ht="42" customHeight="1">
      <c r="A1894" s="2" t="s">
        <v>4716</v>
      </c>
      <c r="B1894" s="2" t="s">
        <v>4717</v>
      </c>
      <c r="C1894" s="2" t="s">
        <v>63</v>
      </c>
      <c r="D1894" s="2" t="s">
        <v>43</v>
      </c>
      <c r="E1894" s="5">
        <v>-29297</v>
      </c>
      <c r="F1894" s="3" t="s">
        <v>82</v>
      </c>
      <c r="G1894" s="3" t="s">
        <v>28</v>
      </c>
      <c r="H1894" s="2" t="s">
        <v>65</v>
      </c>
      <c r="I1894" s="2" t="s">
        <v>4719</v>
      </c>
      <c r="J1894" s="3" t="str">
        <f>HYPERLINK("https://www.boe.es/gazeta/dias/1819/10/14/pdfs/GMD-1819-126.pdf#page=8","Abrir facsímil")</f>
        <v>Abrir facsímil</v>
      </c>
      <c r="K1894" s="3" t="s">
        <v>67</v>
      </c>
    </row>
    <row r="1895" spans="1:11" ht="42" customHeight="1">
      <c r="A1895" s="2" t="s">
        <v>4720</v>
      </c>
      <c r="B1895" s="2" t="s">
        <v>4721</v>
      </c>
      <c r="C1895" s="2" t="s">
        <v>80</v>
      </c>
      <c r="D1895" s="2" t="s">
        <v>81</v>
      </c>
      <c r="E1895" s="5">
        <v>-29243</v>
      </c>
      <c r="F1895" s="3" t="s">
        <v>2099</v>
      </c>
      <c r="G1895" s="3" t="s">
        <v>4722</v>
      </c>
      <c r="H1895" s="2" t="s">
        <v>65</v>
      </c>
      <c r="I1895" s="2" t="s">
        <v>4723</v>
      </c>
      <c r="J1895" s="3" t="str">
        <f>HYPERLINK("https://www.boe.es/gazeta/dias/1819/12/07/pdfs/GMD-1819-150.pdf#page=5","Abrir facsímil")</f>
        <v>Abrir facsímil</v>
      </c>
      <c r="K1895" s="3" t="s">
        <v>67</v>
      </c>
    </row>
    <row r="1896" spans="1:11" ht="42" customHeight="1">
      <c r="A1896" s="2" t="s">
        <v>4720</v>
      </c>
      <c r="B1896" s="2" t="s">
        <v>4721</v>
      </c>
      <c r="C1896" s="2" t="s">
        <v>59</v>
      </c>
      <c r="D1896" s="2" t="s">
        <v>18</v>
      </c>
      <c r="E1896" s="5">
        <v>-29222</v>
      </c>
      <c r="F1896" s="3" t="s">
        <v>338</v>
      </c>
      <c r="G1896" s="3" t="s">
        <v>988</v>
      </c>
      <c r="H1896" s="2" t="s">
        <v>65</v>
      </c>
      <c r="I1896" s="2" t="s">
        <v>4724</v>
      </c>
      <c r="J1896" s="3" t="str">
        <f>HYPERLINK("https://www.boe.es/gazeta/dias/1819/12/28/pdfs/GMD-1819-159.pdf#page=4","Abrir facsímil")</f>
        <v>Abrir facsímil</v>
      </c>
      <c r="K1896" s="3" t="s">
        <v>67</v>
      </c>
    </row>
    <row r="1897" spans="1:11" ht="42" customHeight="1">
      <c r="A1897" s="2" t="s">
        <v>4725</v>
      </c>
      <c r="B1897" s="2" t="s">
        <v>4725</v>
      </c>
      <c r="C1897" s="2" t="s">
        <v>80</v>
      </c>
      <c r="D1897" s="2" t="s">
        <v>81</v>
      </c>
      <c r="E1897" s="5">
        <v>-29472</v>
      </c>
      <c r="F1897" s="3" t="s">
        <v>393</v>
      </c>
      <c r="G1897" s="3" t="s">
        <v>33</v>
      </c>
      <c r="H1897" s="2" t="s">
        <v>65</v>
      </c>
      <c r="I1897" s="2" t="s">
        <v>4726</v>
      </c>
      <c r="J1897" s="3" t="str">
        <f>HYPERLINK("https://www.boe.es/gazeta/dias/1819/04/22/pdfs/GMD-1819-48.pdf#page=6","Abrir facsímil")</f>
        <v>Abrir facsímil</v>
      </c>
      <c r="K1897" s="3" t="s">
        <v>67</v>
      </c>
    </row>
    <row r="1898" spans="1:11" ht="42" customHeight="1">
      <c r="A1898" s="2" t="s">
        <v>4725</v>
      </c>
      <c r="B1898" s="2" t="s">
        <v>4725</v>
      </c>
      <c r="C1898" s="2" t="s">
        <v>59</v>
      </c>
      <c r="D1898" s="2" t="s">
        <v>18</v>
      </c>
      <c r="E1898" s="5">
        <v>-29390</v>
      </c>
      <c r="F1898" s="3" t="s">
        <v>263</v>
      </c>
      <c r="G1898" s="3" t="s">
        <v>55</v>
      </c>
      <c r="H1898" s="2" t="s">
        <v>65</v>
      </c>
      <c r="I1898" s="2" t="s">
        <v>4727</v>
      </c>
      <c r="J1898" s="3" t="str">
        <f>HYPERLINK("https://www.boe.es/gazeta/dias/1819/07/13/pdfs/GMD-1819-84.pdf#page=7","Abrir facsímil")</f>
        <v>Abrir facsímil</v>
      </c>
      <c r="K1898" s="3" t="s">
        <v>67</v>
      </c>
    </row>
    <row r="1899" spans="1:11" ht="42" customHeight="1">
      <c r="A1899" s="2" t="s">
        <v>4725</v>
      </c>
      <c r="B1899" s="2" t="s">
        <v>4725</v>
      </c>
      <c r="C1899" s="2" t="s">
        <v>17</v>
      </c>
      <c r="D1899" s="2" t="s">
        <v>18</v>
      </c>
      <c r="E1899" s="5">
        <v>-29246</v>
      </c>
      <c r="F1899" s="3" t="s">
        <v>494</v>
      </c>
      <c r="G1899" s="3" t="s">
        <v>1726</v>
      </c>
      <c r="H1899" s="2" t="s">
        <v>65</v>
      </c>
      <c r="I1899" s="2" t="s">
        <v>4728</v>
      </c>
      <c r="J1899" s="3" t="str">
        <f>HYPERLINK("https://www.boe.es/gazeta/dias/1819/12/04/pdfs/GMD-1819-149.pdf#page=7","Abrir facsímil")</f>
        <v>Abrir facsímil</v>
      </c>
      <c r="K1899" s="3" t="s">
        <v>67</v>
      </c>
    </row>
    <row r="1900" spans="1:11" ht="42" customHeight="1">
      <c r="A1900" s="2" t="s">
        <v>4729</v>
      </c>
      <c r="B1900" s="2" t="s">
        <v>4730</v>
      </c>
      <c r="C1900" s="2" t="s">
        <v>80</v>
      </c>
      <c r="D1900" s="2" t="s">
        <v>454</v>
      </c>
      <c r="E1900" s="5">
        <v>-29287</v>
      </c>
      <c r="F1900" s="3" t="s">
        <v>455</v>
      </c>
      <c r="G1900" s="3" t="s">
        <v>481</v>
      </c>
      <c r="H1900" s="2" t="s">
        <v>65</v>
      </c>
      <c r="I1900" s="2" t="s">
        <v>4731</v>
      </c>
      <c r="J1900" s="3" t="str">
        <f>HYPERLINK("https://www.boe.es/gazeta/dias/1819/10/24/pdfs/GMD-1819-131E.pdf#page=8","Abrir facsímil")</f>
        <v>Abrir facsímil</v>
      </c>
      <c r="K1900" s="3" t="s">
        <v>67</v>
      </c>
    </row>
    <row r="1901" spans="1:11" ht="42" customHeight="1">
      <c r="A1901" s="2" t="s">
        <v>4732</v>
      </c>
      <c r="B1901" s="2" t="s">
        <v>4732</v>
      </c>
      <c r="C1901" s="2" t="s">
        <v>80</v>
      </c>
      <c r="D1901" s="2" t="s">
        <v>81</v>
      </c>
      <c r="E1901" s="5">
        <v>-29493</v>
      </c>
      <c r="F1901" s="3" t="s">
        <v>404</v>
      </c>
      <c r="G1901" s="3" t="s">
        <v>33</v>
      </c>
      <c r="H1901" s="2" t="s">
        <v>65</v>
      </c>
      <c r="I1901" s="2" t="s">
        <v>4733</v>
      </c>
      <c r="J1901" s="3" t="str">
        <f>HYPERLINK("https://www.boe.es/gazeta/dias/1819/04/01/pdfs/GMD-1819-39.pdf#page=6","Abrir facsímil")</f>
        <v>Abrir facsímil</v>
      </c>
      <c r="K1901" s="3" t="s">
        <v>67</v>
      </c>
    </row>
    <row r="1902" spans="1:11" ht="42" customHeight="1">
      <c r="A1902" s="2" t="s">
        <v>4732</v>
      </c>
      <c r="B1902" s="2" t="s">
        <v>4732</v>
      </c>
      <c r="C1902" s="2" t="s">
        <v>80</v>
      </c>
      <c r="D1902" s="2" t="s">
        <v>81</v>
      </c>
      <c r="E1902" s="5">
        <v>-29456</v>
      </c>
      <c r="F1902" s="3" t="s">
        <v>468</v>
      </c>
      <c r="G1902" s="3" t="s">
        <v>55</v>
      </c>
      <c r="H1902" s="2" t="s">
        <v>65</v>
      </c>
      <c r="I1902" s="2" t="s">
        <v>4734</v>
      </c>
      <c r="J1902" s="3" t="str">
        <f>HYPERLINK("https://www.boe.es/gazeta/dias/1819/05/08/pdfs/GMD-1819-55.pdf#page=7","Abrir facsímil")</f>
        <v>Abrir facsímil</v>
      </c>
      <c r="K1902" s="3" t="s">
        <v>67</v>
      </c>
    </row>
    <row r="1903" spans="1:11" ht="42" customHeight="1">
      <c r="A1903" s="2" t="s">
        <v>4732</v>
      </c>
      <c r="B1903" s="2" t="s">
        <v>4732</v>
      </c>
      <c r="C1903" s="2" t="s">
        <v>80</v>
      </c>
      <c r="D1903" s="2" t="s">
        <v>81</v>
      </c>
      <c r="E1903" s="5">
        <v>-29421</v>
      </c>
      <c r="F1903" s="3" t="s">
        <v>1972</v>
      </c>
      <c r="G1903" s="3" t="s">
        <v>1973</v>
      </c>
      <c r="H1903" s="2" t="s">
        <v>65</v>
      </c>
      <c r="I1903" s="2" t="s">
        <v>4735</v>
      </c>
      <c r="J1903" s="3" t="str">
        <f>HYPERLINK("https://www.boe.es/gazeta/dias/1819/06/12/pdfs/GMD-1819-70.pdf#page=6","Abrir facsímil")</f>
        <v>Abrir facsímil</v>
      </c>
      <c r="K1903" s="3" t="s">
        <v>67</v>
      </c>
    </row>
    <row r="1904" spans="1:11" ht="42" customHeight="1">
      <c r="A1904" s="2" t="s">
        <v>4732</v>
      </c>
      <c r="B1904" s="2" t="s">
        <v>4732</v>
      </c>
      <c r="C1904" s="2" t="s">
        <v>80</v>
      </c>
      <c r="D1904" s="2" t="s">
        <v>81</v>
      </c>
      <c r="E1904" s="5">
        <v>-29421</v>
      </c>
      <c r="F1904" s="3" t="s">
        <v>1972</v>
      </c>
      <c r="G1904" s="3" t="s">
        <v>2551</v>
      </c>
      <c r="H1904" s="2" t="s">
        <v>65</v>
      </c>
      <c r="I1904" s="2" t="s">
        <v>4736</v>
      </c>
      <c r="J1904" s="3" t="str">
        <f>HYPERLINK("https://www.boe.es/gazeta/dias/1819/06/12/pdfs/GMD-1819-70.pdf#page=8","Abrir facsímil")</f>
        <v>Abrir facsímil</v>
      </c>
      <c r="K1904" s="3" t="s">
        <v>67</v>
      </c>
    </row>
    <row r="1905" spans="1:11" ht="42" customHeight="1">
      <c r="A1905" s="2" t="s">
        <v>4732</v>
      </c>
      <c r="B1905" s="2" t="s">
        <v>4732</v>
      </c>
      <c r="C1905" s="2" t="s">
        <v>80</v>
      </c>
      <c r="D1905" s="2" t="s">
        <v>81</v>
      </c>
      <c r="E1905" s="5">
        <v>-29400</v>
      </c>
      <c r="F1905" s="3" t="s">
        <v>2181</v>
      </c>
      <c r="G1905" s="3" t="s">
        <v>55</v>
      </c>
      <c r="H1905" s="2" t="s">
        <v>65</v>
      </c>
      <c r="I1905" s="2" t="s">
        <v>4737</v>
      </c>
      <c r="J1905" s="3" t="str">
        <f>HYPERLINK("https://www.boe.es/gazeta/dias/1819/07/03/pdfs/GMD-1819-80.pdf#page=7","Abrir facsímil")</f>
        <v>Abrir facsímil</v>
      </c>
      <c r="K1905" s="3" t="s">
        <v>67</v>
      </c>
    </row>
    <row r="1906" spans="1:11" ht="42" customHeight="1">
      <c r="A1906" s="2" t="s">
        <v>4732</v>
      </c>
      <c r="B1906" s="2" t="s">
        <v>4732</v>
      </c>
      <c r="C1906" s="2" t="s">
        <v>59</v>
      </c>
      <c r="D1906" s="2" t="s">
        <v>18</v>
      </c>
      <c r="E1906" s="5">
        <v>-29355</v>
      </c>
      <c r="F1906" s="3" t="s">
        <v>347</v>
      </c>
      <c r="G1906" s="3" t="s">
        <v>348</v>
      </c>
      <c r="H1906" s="2" t="s">
        <v>65</v>
      </c>
      <c r="I1906" s="2" t="s">
        <v>4738</v>
      </c>
      <c r="J1906" s="3" t="str">
        <f>HYPERLINK("https://www.boe.es/gazeta/dias/1819/08/17/pdfs/GMD-1819-99.pdf#page=6","Abrir facsímil")</f>
        <v>Abrir facsímil</v>
      </c>
      <c r="K1906" s="3" t="s">
        <v>67</v>
      </c>
    </row>
    <row r="1907" spans="1:11" ht="42" customHeight="1">
      <c r="A1907" s="2" t="s">
        <v>4732</v>
      </c>
      <c r="B1907" s="2" t="s">
        <v>4732</v>
      </c>
      <c r="C1907" s="2" t="s">
        <v>59</v>
      </c>
      <c r="D1907" s="2" t="s">
        <v>18</v>
      </c>
      <c r="E1907" s="5">
        <v>-29327</v>
      </c>
      <c r="F1907" s="3" t="s">
        <v>620</v>
      </c>
      <c r="G1907" s="3" t="s">
        <v>4739</v>
      </c>
      <c r="H1907" s="2" t="s">
        <v>65</v>
      </c>
      <c r="I1907" s="2" t="s">
        <v>4740</v>
      </c>
      <c r="J1907" s="3" t="str">
        <f>HYPERLINK("https://www.boe.es/gazeta/dias/1819/09/14/pdfs/GMD-1819-112.pdf#page=6","Abrir facsímil")</f>
        <v>Abrir facsímil</v>
      </c>
      <c r="K1907" s="3" t="s">
        <v>67</v>
      </c>
    </row>
    <row r="1908" spans="1:11" ht="42" customHeight="1">
      <c r="A1908" s="2" t="s">
        <v>4732</v>
      </c>
      <c r="B1908" s="2" t="s">
        <v>4732</v>
      </c>
      <c r="C1908" s="2" t="s">
        <v>80</v>
      </c>
      <c r="D1908" s="2" t="s">
        <v>81</v>
      </c>
      <c r="E1908" s="5">
        <v>-29318</v>
      </c>
      <c r="F1908" s="3" t="s">
        <v>1442</v>
      </c>
      <c r="G1908" s="3" t="s">
        <v>33</v>
      </c>
      <c r="H1908" s="2" t="s">
        <v>65</v>
      </c>
      <c r="I1908" s="2" t="s">
        <v>4741</v>
      </c>
      <c r="J1908" s="3" t="str">
        <f>HYPERLINK("https://www.boe.es/gazeta/dias/1819/09/23/pdfs/GMD-1819-117.pdf#page=6","Abrir facsímil")</f>
        <v>Abrir facsímil</v>
      </c>
      <c r="K1908" s="3" t="s">
        <v>67</v>
      </c>
    </row>
    <row r="1909" spans="1:11" ht="42" customHeight="1">
      <c r="A1909" s="2" t="s">
        <v>4742</v>
      </c>
      <c r="B1909" s="2" t="s">
        <v>4742</v>
      </c>
      <c r="C1909" s="2" t="s">
        <v>80</v>
      </c>
      <c r="D1909" s="2" t="s">
        <v>81</v>
      </c>
      <c r="E1909" s="5">
        <v>-29318</v>
      </c>
      <c r="F1909" s="3" t="s">
        <v>1442</v>
      </c>
      <c r="G1909" s="3" t="s">
        <v>55</v>
      </c>
      <c r="H1909" s="2" t="s">
        <v>65</v>
      </c>
      <c r="I1909" s="2" t="s">
        <v>4743</v>
      </c>
      <c r="J1909" s="3" t="str">
        <f>HYPERLINK("https://www.boe.es/gazeta/dias/1819/09/23/pdfs/GMD-1819-117.pdf#page=7","Abrir facsímil")</f>
        <v>Abrir facsímil</v>
      </c>
      <c r="K1909" s="3" t="s">
        <v>67</v>
      </c>
    </row>
    <row r="1910" spans="1:11" ht="42" customHeight="1">
      <c r="A1910" s="2" t="s">
        <v>4732</v>
      </c>
      <c r="B1910" s="2" t="s">
        <v>4732</v>
      </c>
      <c r="C1910" s="2" t="s">
        <v>63</v>
      </c>
      <c r="D1910" s="2" t="s">
        <v>43</v>
      </c>
      <c r="E1910" s="5">
        <v>-29306</v>
      </c>
      <c r="F1910" s="3" t="s">
        <v>303</v>
      </c>
      <c r="G1910" s="3" t="s">
        <v>55</v>
      </c>
      <c r="H1910" s="2" t="s">
        <v>65</v>
      </c>
      <c r="I1910" s="2" t="s">
        <v>4744</v>
      </c>
      <c r="J1910" s="3" t="str">
        <f>HYPERLINK("https://www.boe.es/gazeta/dias/1819/10/05/pdfs/GMD-1819-122.pdf#page=7","Abrir facsímil")</f>
        <v>Abrir facsímil</v>
      </c>
      <c r="K1910" s="3" t="s">
        <v>67</v>
      </c>
    </row>
    <row r="1911" spans="1:11" ht="42" customHeight="1">
      <c r="A1911" s="2" t="s">
        <v>4732</v>
      </c>
      <c r="B1911" s="2" t="s">
        <v>4732</v>
      </c>
      <c r="C1911" s="2" t="s">
        <v>59</v>
      </c>
      <c r="D1911" s="2" t="s">
        <v>18</v>
      </c>
      <c r="E1911" s="5">
        <v>-29281</v>
      </c>
      <c r="F1911" s="3" t="s">
        <v>19</v>
      </c>
      <c r="G1911" s="3" t="s">
        <v>28</v>
      </c>
      <c r="H1911" s="2" t="s">
        <v>65</v>
      </c>
      <c r="I1911" s="2" t="s">
        <v>4745</v>
      </c>
      <c r="J1911" s="3" t="str">
        <f>HYPERLINK("https://www.boe.es/gazeta/dias/1819/10/30/pdfs/GMD-1819-134.pdf#page=8","Abrir facsímil")</f>
        <v>Abrir facsímil</v>
      </c>
      <c r="K1911" s="3" t="s">
        <v>67</v>
      </c>
    </row>
    <row r="1912" spans="1:11" ht="42" customHeight="1">
      <c r="A1912" s="2" t="s">
        <v>4732</v>
      </c>
      <c r="B1912" s="2" t="s">
        <v>4732</v>
      </c>
      <c r="C1912" s="2" t="s">
        <v>59</v>
      </c>
      <c r="D1912" s="2" t="s">
        <v>18</v>
      </c>
      <c r="E1912" s="5">
        <v>-29257</v>
      </c>
      <c r="F1912" s="3" t="s">
        <v>73</v>
      </c>
      <c r="G1912" s="3" t="s">
        <v>3029</v>
      </c>
      <c r="H1912" s="2" t="s">
        <v>65</v>
      </c>
      <c r="I1912" s="2" t="s">
        <v>4746</v>
      </c>
      <c r="J1912" s="3" t="str">
        <f>HYPERLINK("https://www.boe.es/gazeta/dias/1819/11/23/pdfs/GMD-1819-144.pdf#page=7","Abrir facsímil")</f>
        <v>Abrir facsímil</v>
      </c>
      <c r="K1912" s="3" t="s">
        <v>67</v>
      </c>
    </row>
    <row r="1913" spans="1:11" ht="42" customHeight="1">
      <c r="A1913" s="2" t="s">
        <v>4732</v>
      </c>
      <c r="B1913" s="2" t="s">
        <v>4732</v>
      </c>
      <c r="C1913" s="2" t="s">
        <v>215</v>
      </c>
      <c r="D1913" s="2" t="s">
        <v>18</v>
      </c>
      <c r="E1913" s="5">
        <v>-29257</v>
      </c>
      <c r="F1913" s="3" t="s">
        <v>73</v>
      </c>
      <c r="G1913" s="3" t="s">
        <v>33</v>
      </c>
      <c r="H1913" s="2" t="s">
        <v>65</v>
      </c>
      <c r="I1913" s="2" t="s">
        <v>4747</v>
      </c>
      <c r="J1913" s="3" t="str">
        <f>HYPERLINK("https://www.boe.es/gazeta/dias/1819/11/23/pdfs/GMD-1819-144.pdf#page=6","Abrir facsímil")</f>
        <v>Abrir facsímil</v>
      </c>
      <c r="K1913" s="3" t="s">
        <v>67</v>
      </c>
    </row>
    <row r="1914" spans="1:11" ht="42" customHeight="1">
      <c r="A1914" s="2" t="s">
        <v>4748</v>
      </c>
      <c r="B1914" s="2" t="s">
        <v>4749</v>
      </c>
      <c r="C1914" s="2" t="s">
        <v>80</v>
      </c>
      <c r="D1914" s="2" t="s">
        <v>81</v>
      </c>
      <c r="E1914" s="5">
        <v>-29278</v>
      </c>
      <c r="F1914" s="3" t="s">
        <v>1950</v>
      </c>
      <c r="G1914" s="3" t="s">
        <v>33</v>
      </c>
      <c r="H1914" s="2" t="s">
        <v>65</v>
      </c>
      <c r="I1914" s="2" t="s">
        <v>4750</v>
      </c>
      <c r="J1914" s="3" t="str">
        <f>HYPERLINK("https://www.boe.es/gazeta/dias/1819/11/02/pdfs/GMD-1819-135.pdf#page=6","Abrir facsímil")</f>
        <v>Abrir facsímil</v>
      </c>
      <c r="K1914" s="3" t="s">
        <v>67</v>
      </c>
    </row>
    <row r="1915" spans="1:11" ht="42" customHeight="1">
      <c r="A1915" s="2" t="s">
        <v>4751</v>
      </c>
      <c r="B1915" s="2" t="s">
        <v>4752</v>
      </c>
      <c r="C1915" s="2" t="s">
        <v>136</v>
      </c>
      <c r="D1915" s="2" t="s">
        <v>18</v>
      </c>
      <c r="E1915" s="5">
        <v>-29577</v>
      </c>
      <c r="F1915" s="3" t="s">
        <v>1008</v>
      </c>
      <c r="G1915" s="3" t="s">
        <v>28</v>
      </c>
      <c r="H1915" s="2" t="s">
        <v>65</v>
      </c>
      <c r="I1915" s="2" t="s">
        <v>4753</v>
      </c>
      <c r="J1915" s="3" t="str">
        <f>HYPERLINK("https://www.boe.es/gazeta/dias/1819/01/07/pdfs/GMD-1819-3.pdf#page=8","Abrir facsímil")</f>
        <v>Abrir facsímil</v>
      </c>
      <c r="K1915" s="3" t="s">
        <v>67</v>
      </c>
    </row>
    <row r="1916" spans="1:11" ht="42" customHeight="1">
      <c r="A1916" s="2" t="s">
        <v>4754</v>
      </c>
      <c r="B1916" s="2" t="s">
        <v>4754</v>
      </c>
      <c r="C1916" s="2" t="s">
        <v>80</v>
      </c>
      <c r="D1916" s="2" t="s">
        <v>81</v>
      </c>
      <c r="E1916" s="5">
        <v>-29575</v>
      </c>
      <c r="F1916" s="3" t="s">
        <v>77</v>
      </c>
      <c r="G1916" s="3" t="s">
        <v>38</v>
      </c>
      <c r="H1916" s="2" t="s">
        <v>65</v>
      </c>
      <c r="I1916" s="2" t="s">
        <v>4755</v>
      </c>
      <c r="J1916" s="3" t="str">
        <f>HYPERLINK("https://www.boe.es/gazeta/dias/1819/01/09/pdfs/GMD-1819-4.pdf#page=5","Abrir facsímil")</f>
        <v>Abrir facsímil</v>
      </c>
      <c r="K1916" s="3" t="s">
        <v>67</v>
      </c>
    </row>
    <row r="1917" spans="1:11" ht="42" customHeight="1">
      <c r="A1917" s="2" t="s">
        <v>4756</v>
      </c>
      <c r="B1917" s="2" t="s">
        <v>4756</v>
      </c>
      <c r="C1917" s="2" t="s">
        <v>80</v>
      </c>
      <c r="D1917" s="2" t="s">
        <v>81</v>
      </c>
      <c r="E1917" s="5">
        <v>-29479</v>
      </c>
      <c r="F1917" s="3" t="s">
        <v>979</v>
      </c>
      <c r="G1917" s="3" t="s">
        <v>259</v>
      </c>
      <c r="H1917" s="2" t="s">
        <v>65</v>
      </c>
      <c r="I1917" s="2" t="s">
        <v>4757</v>
      </c>
      <c r="J1917" s="3" t="str">
        <f>HYPERLINK("https://www.boe.es/gazeta/dias/1819/04/15/pdfs/GMD-1819-45.pdf#page=2","Abrir facsímil")</f>
        <v>Abrir facsímil</v>
      </c>
      <c r="K1917" s="3" t="s">
        <v>67</v>
      </c>
    </row>
    <row r="1918" spans="1:11" ht="42" customHeight="1">
      <c r="A1918" s="2" t="s">
        <v>4758</v>
      </c>
      <c r="B1918" s="2" t="s">
        <v>4758</v>
      </c>
      <c r="C1918" s="2" t="s">
        <v>80</v>
      </c>
      <c r="D1918" s="2" t="s">
        <v>81</v>
      </c>
      <c r="E1918" s="5">
        <v>-29579</v>
      </c>
      <c r="F1918" s="3" t="s">
        <v>186</v>
      </c>
      <c r="G1918" s="3" t="s">
        <v>33</v>
      </c>
      <c r="H1918" s="2" t="s">
        <v>65</v>
      </c>
      <c r="I1918" s="2" t="s">
        <v>4759</v>
      </c>
      <c r="J1918" s="3" t="str">
        <f>HYPERLINK("https://www.boe.es/gazeta/dias/1819/01/05/pdfs/GMD-1819-2.pdf#page=6","Abrir facsímil")</f>
        <v>Abrir facsímil</v>
      </c>
      <c r="K1918" s="3" t="s">
        <v>67</v>
      </c>
    </row>
    <row r="1919" spans="1:11" ht="42" customHeight="1">
      <c r="A1919" s="2" t="s">
        <v>4760</v>
      </c>
      <c r="B1919" s="2" t="s">
        <v>4761</v>
      </c>
      <c r="C1919" s="2" t="s">
        <v>17</v>
      </c>
      <c r="D1919" s="2" t="s">
        <v>454</v>
      </c>
      <c r="E1919" s="5">
        <v>-29324</v>
      </c>
      <c r="F1919" s="3" t="s">
        <v>914</v>
      </c>
      <c r="G1919" s="3" t="s">
        <v>239</v>
      </c>
      <c r="H1919" s="2" t="s">
        <v>65</v>
      </c>
      <c r="I1919" s="2" t="s">
        <v>4762</v>
      </c>
      <c r="J1919" s="3" t="str">
        <f>HYPERLINK("https://www.boe.es/gazeta/dias/1819/09/17/pdfs/GMD-1819-114E.pdf#page=1","Abrir facsímil")</f>
        <v>Abrir facsímil</v>
      </c>
      <c r="K1919" s="3" t="s">
        <v>67</v>
      </c>
    </row>
    <row r="1920" spans="1:11" ht="42" customHeight="1">
      <c r="A1920" s="2" t="s">
        <v>4763</v>
      </c>
      <c r="B1920" s="2" t="s">
        <v>4763</v>
      </c>
      <c r="C1920" s="2" t="s">
        <v>80</v>
      </c>
      <c r="D1920" s="2" t="s">
        <v>81</v>
      </c>
      <c r="E1920" s="5">
        <v>-29530</v>
      </c>
      <c r="F1920" s="3" t="s">
        <v>202</v>
      </c>
      <c r="G1920" s="3" t="s">
        <v>33</v>
      </c>
      <c r="H1920" s="2" t="s">
        <v>65</v>
      </c>
      <c r="I1920" s="2" t="s">
        <v>4764</v>
      </c>
      <c r="J1920" s="3" t="str">
        <f>HYPERLINK("https://www.boe.es/gazeta/dias/1819/02/23/pdfs/GMD-1819-23.pdf#page=6","Abrir facsímil")</f>
        <v>Abrir facsímil</v>
      </c>
      <c r="K1920" s="3" t="s">
        <v>67</v>
      </c>
    </row>
    <row r="1921" spans="1:11" ht="42" customHeight="1">
      <c r="A1921" s="2" t="s">
        <v>4763</v>
      </c>
      <c r="B1921" s="2" t="s">
        <v>4763</v>
      </c>
      <c r="C1921" s="2" t="s">
        <v>80</v>
      </c>
      <c r="D1921" s="2" t="s">
        <v>81</v>
      </c>
      <c r="E1921" s="5">
        <v>-29437</v>
      </c>
      <c r="F1921" s="3" t="s">
        <v>1147</v>
      </c>
      <c r="G1921" s="3" t="s">
        <v>38</v>
      </c>
      <c r="H1921" s="2" t="s">
        <v>65</v>
      </c>
      <c r="I1921" s="2" t="s">
        <v>4765</v>
      </c>
      <c r="J1921" s="3" t="str">
        <f>HYPERLINK("https://www.boe.es/gazeta/dias/1819/05/27/pdfs/GMD-1819-63.pdf#page=5","Abrir facsímil")</f>
        <v>Abrir facsímil</v>
      </c>
      <c r="K1921" s="3" t="s">
        <v>67</v>
      </c>
    </row>
    <row r="1922" spans="1:11" ht="42" customHeight="1">
      <c r="A1922" s="2" t="s">
        <v>4766</v>
      </c>
      <c r="B1922" s="2" t="s">
        <v>4766</v>
      </c>
      <c r="C1922" s="2" t="s">
        <v>59</v>
      </c>
      <c r="D1922" s="2" t="s">
        <v>18</v>
      </c>
      <c r="E1922" s="5">
        <v>-29369</v>
      </c>
      <c r="F1922" s="3" t="s">
        <v>231</v>
      </c>
      <c r="G1922" s="3" t="s">
        <v>28</v>
      </c>
      <c r="H1922" s="2" t="s">
        <v>65</v>
      </c>
      <c r="I1922" s="2" t="s">
        <v>4767</v>
      </c>
      <c r="J1922" s="3" t="str">
        <f>HYPERLINK("https://www.boe.es/gazeta/dias/1819/08/03/pdfs/GMD-1819-93.pdf#page=8","Abrir facsímil")</f>
        <v>Abrir facsímil</v>
      </c>
      <c r="K1922" s="3" t="s">
        <v>67</v>
      </c>
    </row>
    <row r="1923" spans="1:11" ht="42" customHeight="1">
      <c r="A1923" s="2" t="s">
        <v>4768</v>
      </c>
      <c r="B1923" s="2" t="s">
        <v>4768</v>
      </c>
      <c r="C1923" s="2" t="s">
        <v>59</v>
      </c>
      <c r="D1923" s="2" t="s">
        <v>18</v>
      </c>
      <c r="E1923" s="5">
        <v>-29292</v>
      </c>
      <c r="F1923" s="3" t="s">
        <v>875</v>
      </c>
      <c r="G1923" s="3" t="s">
        <v>28</v>
      </c>
      <c r="H1923" s="2" t="s">
        <v>65</v>
      </c>
      <c r="I1923" s="2" t="s">
        <v>4769</v>
      </c>
      <c r="J1923" s="3" t="str">
        <f>HYPERLINK("https://www.boe.es/gazeta/dias/1819/10/19/pdfs/GMD-1819-128.pdf#page=8","Abrir facsímil")</f>
        <v>Abrir facsímil</v>
      </c>
      <c r="K1923" s="3" t="s">
        <v>67</v>
      </c>
    </row>
    <row r="1924" spans="1:11" ht="42" customHeight="1">
      <c r="A1924" s="2" t="s">
        <v>4770</v>
      </c>
      <c r="B1924" s="2" t="s">
        <v>4770</v>
      </c>
      <c r="C1924" s="2" t="s">
        <v>80</v>
      </c>
      <c r="D1924" s="2" t="s">
        <v>81</v>
      </c>
      <c r="E1924" s="5">
        <v>-29577</v>
      </c>
      <c r="F1924" s="3" t="s">
        <v>1008</v>
      </c>
      <c r="G1924" s="3" t="s">
        <v>38</v>
      </c>
      <c r="H1924" s="2" t="s">
        <v>65</v>
      </c>
      <c r="I1924" s="2" t="s">
        <v>4771</v>
      </c>
      <c r="J1924" s="3" t="str">
        <f>HYPERLINK("https://www.boe.es/gazeta/dias/1819/01/07/pdfs/GMD-1819-3.pdf#page=5","Abrir facsímil")</f>
        <v>Abrir facsímil</v>
      </c>
      <c r="K1924" s="3" t="s">
        <v>67</v>
      </c>
    </row>
    <row r="1925" spans="1:11" ht="42" customHeight="1">
      <c r="A1925" s="2" t="s">
        <v>4770</v>
      </c>
      <c r="B1925" s="2" t="s">
        <v>4770</v>
      </c>
      <c r="C1925" s="2" t="s">
        <v>80</v>
      </c>
      <c r="D1925" s="2" t="s">
        <v>81</v>
      </c>
      <c r="E1925" s="5">
        <v>-29549</v>
      </c>
      <c r="F1925" s="3" t="s">
        <v>124</v>
      </c>
      <c r="G1925" s="3" t="s">
        <v>125</v>
      </c>
      <c r="H1925" s="2" t="s">
        <v>65</v>
      </c>
      <c r="I1925" s="2" t="s">
        <v>4772</v>
      </c>
      <c r="J1925" s="3" t="str">
        <f>HYPERLINK("https://www.boe.es/gazeta/dias/1819/02/04/pdfs/GMD-1819-15.pdf#page=7","Abrir facsímil")</f>
        <v>Abrir facsímil</v>
      </c>
      <c r="K1925" s="3" t="s">
        <v>67</v>
      </c>
    </row>
    <row r="1926" spans="1:11" ht="42" customHeight="1">
      <c r="A1926" s="2" t="s">
        <v>4770</v>
      </c>
      <c r="B1926" s="2" t="s">
        <v>4770</v>
      </c>
      <c r="C1926" s="2" t="s">
        <v>59</v>
      </c>
      <c r="D1926" s="2" t="s">
        <v>18</v>
      </c>
      <c r="E1926" s="5">
        <v>-29530</v>
      </c>
      <c r="F1926" s="3" t="s">
        <v>202</v>
      </c>
      <c r="G1926" s="3" t="s">
        <v>55</v>
      </c>
      <c r="H1926" s="2" t="s">
        <v>65</v>
      </c>
      <c r="I1926" s="2" t="s">
        <v>4773</v>
      </c>
      <c r="J1926" s="3" t="str">
        <f>HYPERLINK("https://www.boe.es/gazeta/dias/1819/02/23/pdfs/GMD-1819-23.pdf#page=7","Abrir facsímil")</f>
        <v>Abrir facsímil</v>
      </c>
      <c r="K1926" s="3" t="s">
        <v>67</v>
      </c>
    </row>
    <row r="1927" spans="1:11" ht="42" customHeight="1">
      <c r="A1927" s="2" t="s">
        <v>4770</v>
      </c>
      <c r="B1927" s="2" t="s">
        <v>4770</v>
      </c>
      <c r="C1927" s="2" t="s">
        <v>26</v>
      </c>
      <c r="D1927" s="2" t="s">
        <v>18</v>
      </c>
      <c r="E1927" s="5">
        <v>-29512</v>
      </c>
      <c r="F1927" s="3" t="s">
        <v>741</v>
      </c>
      <c r="G1927" s="3" t="s">
        <v>28</v>
      </c>
      <c r="H1927" s="2" t="s">
        <v>65</v>
      </c>
      <c r="I1927" s="2" t="s">
        <v>4774</v>
      </c>
      <c r="J1927" s="3" t="str">
        <f>HYPERLINK("https://www.boe.es/gazeta/dias/1819/03/13/pdfs/GMD-1819-31.pdf#page=8","Abrir facsímil")</f>
        <v>Abrir facsímil</v>
      </c>
      <c r="K1927" s="3" t="s">
        <v>67</v>
      </c>
    </row>
    <row r="1928" spans="1:11" ht="42" customHeight="1">
      <c r="A1928" s="2" t="s">
        <v>4770</v>
      </c>
      <c r="B1928" s="2" t="s">
        <v>4770</v>
      </c>
      <c r="C1928" s="2" t="s">
        <v>80</v>
      </c>
      <c r="D1928" s="2" t="s">
        <v>81</v>
      </c>
      <c r="E1928" s="5">
        <v>-29495</v>
      </c>
      <c r="F1928" s="3" t="s">
        <v>992</v>
      </c>
      <c r="G1928" s="3" t="s">
        <v>38</v>
      </c>
      <c r="H1928" s="2" t="s">
        <v>65</v>
      </c>
      <c r="I1928" s="2" t="s">
        <v>4775</v>
      </c>
      <c r="J1928" s="3" t="str">
        <f>HYPERLINK("https://www.boe.es/gazeta/dias/1819/03/30/pdfs/GMD-1819-38.pdf#page=5","Abrir facsímil")</f>
        <v>Abrir facsímil</v>
      </c>
      <c r="K1928" s="3" t="s">
        <v>67</v>
      </c>
    </row>
    <row r="1929" spans="1:11" ht="42" customHeight="1">
      <c r="A1929" s="2" t="s">
        <v>4770</v>
      </c>
      <c r="B1929" s="2" t="s">
        <v>4770</v>
      </c>
      <c r="C1929" s="2" t="s">
        <v>80</v>
      </c>
      <c r="D1929" s="2" t="s">
        <v>81</v>
      </c>
      <c r="E1929" s="5">
        <v>-29495</v>
      </c>
      <c r="F1929" s="3" t="s">
        <v>992</v>
      </c>
      <c r="G1929" s="3" t="s">
        <v>33</v>
      </c>
      <c r="H1929" s="2" t="s">
        <v>65</v>
      </c>
      <c r="I1929" s="2" t="s">
        <v>4776</v>
      </c>
      <c r="J1929" s="3" t="str">
        <f>HYPERLINK("https://www.boe.es/gazeta/dias/1819/03/30/pdfs/GMD-1819-38.pdf#page=6","Abrir facsímil")</f>
        <v>Abrir facsímil</v>
      </c>
      <c r="K1929" s="3" t="s">
        <v>67</v>
      </c>
    </row>
    <row r="1930" spans="1:11" ht="42" customHeight="1">
      <c r="A1930" s="2" t="s">
        <v>4770</v>
      </c>
      <c r="B1930" s="2" t="s">
        <v>4770</v>
      </c>
      <c r="C1930" s="2" t="s">
        <v>80</v>
      </c>
      <c r="D1930" s="2" t="s">
        <v>81</v>
      </c>
      <c r="E1930" s="5">
        <v>-29486</v>
      </c>
      <c r="F1930" s="3" t="s">
        <v>330</v>
      </c>
      <c r="G1930" s="3" t="s">
        <v>55</v>
      </c>
      <c r="H1930" s="2" t="s">
        <v>65</v>
      </c>
      <c r="I1930" s="2" t="s">
        <v>4777</v>
      </c>
      <c r="J1930" s="3" t="str">
        <f>HYPERLINK("https://www.boe.es/gazeta/dias/1819/04/08/pdfs/GMD-1819-42.pdf#page=7","Abrir facsímil")</f>
        <v>Abrir facsímil</v>
      </c>
      <c r="K1930" s="3" t="s">
        <v>67</v>
      </c>
    </row>
    <row r="1931" spans="1:11" ht="42" customHeight="1">
      <c r="A1931" s="2" t="s">
        <v>4770</v>
      </c>
      <c r="B1931" s="2" t="s">
        <v>4770</v>
      </c>
      <c r="C1931" s="2" t="s">
        <v>80</v>
      </c>
      <c r="D1931" s="2" t="s">
        <v>81</v>
      </c>
      <c r="E1931" s="5">
        <v>-29481</v>
      </c>
      <c r="F1931" s="3" t="s">
        <v>1504</v>
      </c>
      <c r="G1931" s="3" t="s">
        <v>38</v>
      </c>
      <c r="H1931" s="2" t="s">
        <v>65</v>
      </c>
      <c r="I1931" s="2" t="s">
        <v>4778</v>
      </c>
      <c r="J1931" s="3" t="str">
        <f>HYPERLINK("https://www.boe.es/gazeta/dias/1819/04/13/pdfs/GMD-1819-44.pdf#page=5","Abrir facsímil")</f>
        <v>Abrir facsímil</v>
      </c>
      <c r="K1931" s="3" t="s">
        <v>67</v>
      </c>
    </row>
    <row r="1932" spans="1:11" ht="42" customHeight="1">
      <c r="A1932" s="2" t="s">
        <v>4770</v>
      </c>
      <c r="B1932" s="2" t="s">
        <v>4770</v>
      </c>
      <c r="C1932" s="2" t="s">
        <v>80</v>
      </c>
      <c r="D1932" s="2" t="s">
        <v>81</v>
      </c>
      <c r="E1932" s="5">
        <v>-29481</v>
      </c>
      <c r="F1932" s="3" t="s">
        <v>1504</v>
      </c>
      <c r="G1932" s="3" t="s">
        <v>33</v>
      </c>
      <c r="H1932" s="2" t="s">
        <v>65</v>
      </c>
      <c r="I1932" s="2" t="s">
        <v>4779</v>
      </c>
      <c r="J1932" s="3" t="str">
        <f>HYPERLINK("https://www.boe.es/gazeta/dias/1819/04/13/pdfs/GMD-1819-44.pdf#page=6","Abrir facsímil")</f>
        <v>Abrir facsímil</v>
      </c>
      <c r="K1932" s="3" t="s">
        <v>67</v>
      </c>
    </row>
    <row r="1933" spans="1:11" ht="42" customHeight="1">
      <c r="A1933" s="2" t="s">
        <v>4770</v>
      </c>
      <c r="B1933" s="2" t="s">
        <v>4770</v>
      </c>
      <c r="C1933" s="2" t="s">
        <v>80</v>
      </c>
      <c r="D1933" s="2" t="s">
        <v>81</v>
      </c>
      <c r="E1933" s="5">
        <v>-29437</v>
      </c>
      <c r="F1933" s="3" t="s">
        <v>1147</v>
      </c>
      <c r="G1933" s="3" t="s">
        <v>33</v>
      </c>
      <c r="H1933" s="2" t="s">
        <v>65</v>
      </c>
      <c r="I1933" s="2" t="s">
        <v>4780</v>
      </c>
      <c r="J1933" s="3" t="str">
        <f>HYPERLINK("https://www.boe.es/gazeta/dias/1819/05/27/pdfs/GMD-1819-63.pdf#page=6","Abrir facsímil")</f>
        <v>Abrir facsímil</v>
      </c>
      <c r="K1933" s="3" t="s">
        <v>67</v>
      </c>
    </row>
    <row r="1934" spans="1:11" ht="42" customHeight="1">
      <c r="A1934" s="2" t="s">
        <v>4770</v>
      </c>
      <c r="B1934" s="2" t="s">
        <v>4770</v>
      </c>
      <c r="C1934" s="2" t="s">
        <v>136</v>
      </c>
      <c r="D1934" s="2" t="s">
        <v>18</v>
      </c>
      <c r="E1934" s="5">
        <v>-29435</v>
      </c>
      <c r="F1934" s="3" t="s">
        <v>191</v>
      </c>
      <c r="G1934" s="3" t="s">
        <v>28</v>
      </c>
      <c r="H1934" s="2" t="s">
        <v>65</v>
      </c>
      <c r="I1934" s="2" t="s">
        <v>4781</v>
      </c>
      <c r="J1934" s="3" t="str">
        <f>HYPERLINK("https://www.boe.es/gazeta/dias/1819/05/29/pdfs/GMD-1819-64.pdf#page=8","Abrir facsímil")</f>
        <v>Abrir facsímil</v>
      </c>
      <c r="K1934" s="3" t="s">
        <v>67</v>
      </c>
    </row>
    <row r="1935" spans="1:11" ht="42" customHeight="1">
      <c r="A1935" s="2" t="s">
        <v>4770</v>
      </c>
      <c r="B1935" s="2" t="s">
        <v>4770</v>
      </c>
      <c r="C1935" s="2" t="s">
        <v>59</v>
      </c>
      <c r="D1935" s="2" t="s">
        <v>18</v>
      </c>
      <c r="E1935" s="5">
        <v>-29423</v>
      </c>
      <c r="F1935" s="3" t="s">
        <v>1205</v>
      </c>
      <c r="G1935" s="3" t="s">
        <v>28</v>
      </c>
      <c r="H1935" s="2" t="s">
        <v>65</v>
      </c>
      <c r="I1935" s="2" t="s">
        <v>4782</v>
      </c>
      <c r="J1935" s="3" t="str">
        <f>HYPERLINK("https://www.boe.es/gazeta/dias/1819/06/10/pdfs/GMD-1819-69.pdf#page=8","Abrir facsímil")</f>
        <v>Abrir facsímil</v>
      </c>
      <c r="K1935" s="3" t="s">
        <v>67</v>
      </c>
    </row>
    <row r="1936" spans="1:11" ht="42" customHeight="1">
      <c r="A1936" s="2" t="s">
        <v>4770</v>
      </c>
      <c r="B1936" s="2" t="s">
        <v>4770</v>
      </c>
      <c r="C1936" s="2" t="s">
        <v>17</v>
      </c>
      <c r="D1936" s="2" t="s">
        <v>18</v>
      </c>
      <c r="E1936" s="5">
        <v>-29386</v>
      </c>
      <c r="F1936" s="3" t="s">
        <v>568</v>
      </c>
      <c r="G1936" s="3" t="s">
        <v>28</v>
      </c>
      <c r="H1936" s="2" t="s">
        <v>65</v>
      </c>
      <c r="I1936" s="2" t="s">
        <v>4783</v>
      </c>
      <c r="J1936" s="3" t="str">
        <f>HYPERLINK("https://www.boe.es/gazeta/dias/1819/07/17/pdfs/GMD-1819-86.pdf#page=8","Abrir facsímil")</f>
        <v>Abrir facsímil</v>
      </c>
      <c r="K1936" s="3" t="s">
        <v>67</v>
      </c>
    </row>
    <row r="1937" spans="1:11" ht="42" customHeight="1">
      <c r="A1937" s="2" t="s">
        <v>4784</v>
      </c>
      <c r="B1937" s="2" t="s">
        <v>4784</v>
      </c>
      <c r="C1937" s="2" t="s">
        <v>59</v>
      </c>
      <c r="D1937" s="2" t="s">
        <v>18</v>
      </c>
      <c r="E1937" s="5">
        <v>-29369</v>
      </c>
      <c r="F1937" s="3" t="s">
        <v>231</v>
      </c>
      <c r="G1937" s="3" t="s">
        <v>33</v>
      </c>
      <c r="H1937" s="2" t="s">
        <v>65</v>
      </c>
      <c r="I1937" s="2" t="s">
        <v>4785</v>
      </c>
      <c r="J1937" s="3" t="str">
        <f>HYPERLINK("https://www.boe.es/gazeta/dias/1819/08/03/pdfs/GMD-1819-93.pdf#page=6","Abrir facsímil")</f>
        <v>Abrir facsímil</v>
      </c>
      <c r="K1937" s="3" t="s">
        <v>67</v>
      </c>
    </row>
    <row r="1938" spans="1:11" ht="42" customHeight="1">
      <c r="A1938" s="2" t="s">
        <v>4770</v>
      </c>
      <c r="B1938" s="2" t="s">
        <v>4770</v>
      </c>
      <c r="C1938" s="2" t="s">
        <v>80</v>
      </c>
      <c r="D1938" s="2" t="s">
        <v>81</v>
      </c>
      <c r="E1938" s="5">
        <v>-29362</v>
      </c>
      <c r="F1938" s="3" t="s">
        <v>803</v>
      </c>
      <c r="G1938" s="3" t="s">
        <v>55</v>
      </c>
      <c r="H1938" s="2" t="s">
        <v>65</v>
      </c>
      <c r="I1938" s="2" t="s">
        <v>4786</v>
      </c>
      <c r="J1938" s="3" t="str">
        <f>HYPERLINK("https://www.boe.es/gazeta/dias/1819/08/10/pdfs/GMD-1819-96.pdf#page=7","Abrir facsímil")</f>
        <v>Abrir facsímil</v>
      </c>
      <c r="K1938" s="3" t="s">
        <v>67</v>
      </c>
    </row>
    <row r="1939" spans="1:11" ht="42" customHeight="1">
      <c r="A1939" s="2" t="s">
        <v>4770</v>
      </c>
      <c r="B1939" s="2" t="s">
        <v>4770</v>
      </c>
      <c r="C1939" s="2" t="s">
        <v>26</v>
      </c>
      <c r="D1939" s="2" t="s">
        <v>18</v>
      </c>
      <c r="E1939" s="5">
        <v>-29358</v>
      </c>
      <c r="F1939" s="3" t="s">
        <v>170</v>
      </c>
      <c r="G1939" s="3" t="s">
        <v>28</v>
      </c>
      <c r="H1939" s="2" t="s">
        <v>65</v>
      </c>
      <c r="I1939" s="2" t="s">
        <v>4787</v>
      </c>
      <c r="J1939" s="3" t="str">
        <f>HYPERLINK("https://www.boe.es/gazeta/dias/1819/08/14/pdfs/GMD-1819-98.pdf#page=8","Abrir facsímil")</f>
        <v>Abrir facsímil</v>
      </c>
      <c r="K1939" s="3" t="s">
        <v>67</v>
      </c>
    </row>
    <row r="1940" spans="1:11" ht="42" customHeight="1">
      <c r="A1940" s="2" t="s">
        <v>4770</v>
      </c>
      <c r="B1940" s="2" t="s">
        <v>4770</v>
      </c>
      <c r="C1940" s="2" t="s">
        <v>59</v>
      </c>
      <c r="D1940" s="2" t="s">
        <v>18</v>
      </c>
      <c r="E1940" s="5">
        <v>-29337</v>
      </c>
      <c r="F1940" s="3" t="s">
        <v>1098</v>
      </c>
      <c r="G1940" s="3" t="s">
        <v>38</v>
      </c>
      <c r="H1940" s="2" t="s">
        <v>65</v>
      </c>
      <c r="I1940" s="2" t="s">
        <v>4788</v>
      </c>
      <c r="J1940" s="3" t="str">
        <f>HYPERLINK("https://www.boe.es/gazeta/dias/1819/09/04/pdfs/GMD-1819-108.pdf#page=5","Abrir facsímil")</f>
        <v>Abrir facsímil</v>
      </c>
      <c r="K1940" s="3" t="s">
        <v>67</v>
      </c>
    </row>
    <row r="1941" spans="1:11" ht="42" customHeight="1">
      <c r="A1941" s="2" t="s">
        <v>4770</v>
      </c>
      <c r="B1941" s="2" t="s">
        <v>4770</v>
      </c>
      <c r="C1941" s="2" t="s">
        <v>63</v>
      </c>
      <c r="D1941" s="2" t="s">
        <v>43</v>
      </c>
      <c r="E1941" s="5">
        <v>-29306</v>
      </c>
      <c r="F1941" s="3" t="s">
        <v>303</v>
      </c>
      <c r="G1941" s="3" t="s">
        <v>55</v>
      </c>
      <c r="H1941" s="2" t="s">
        <v>65</v>
      </c>
      <c r="I1941" s="2" t="s">
        <v>4789</v>
      </c>
      <c r="J1941" s="3" t="str">
        <f>HYPERLINK("https://www.boe.es/gazeta/dias/1819/10/05/pdfs/GMD-1819-122.pdf#page=7","Abrir facsímil")</f>
        <v>Abrir facsímil</v>
      </c>
      <c r="K1941" s="3" t="s">
        <v>67</v>
      </c>
    </row>
    <row r="1942" spans="1:11" ht="42" customHeight="1">
      <c r="A1942" s="2" t="s">
        <v>4770</v>
      </c>
      <c r="B1942" s="2" t="s">
        <v>4770</v>
      </c>
      <c r="C1942" s="2" t="s">
        <v>63</v>
      </c>
      <c r="D1942" s="2" t="s">
        <v>454</v>
      </c>
      <c r="E1942" s="5">
        <v>-29287</v>
      </c>
      <c r="F1942" s="3" t="s">
        <v>455</v>
      </c>
      <c r="G1942" s="3" t="s">
        <v>456</v>
      </c>
      <c r="H1942" s="2" t="s">
        <v>65</v>
      </c>
      <c r="I1942" s="2" t="s">
        <v>4790</v>
      </c>
      <c r="J1942" s="3" t="str">
        <f>HYPERLINK("https://www.boe.es/gazeta/dias/1819/10/24/pdfs/GMD-1819-131E.pdf#page=9","Abrir facsímil")</f>
        <v>Abrir facsímil</v>
      </c>
      <c r="K1942" s="3" t="s">
        <v>67</v>
      </c>
    </row>
    <row r="1943" spans="1:11" ht="42" customHeight="1">
      <c r="A1943" s="2" t="s">
        <v>4770</v>
      </c>
      <c r="B1943" s="2" t="s">
        <v>4770</v>
      </c>
      <c r="C1943" s="2" t="s">
        <v>17</v>
      </c>
      <c r="D1943" s="2" t="s">
        <v>18</v>
      </c>
      <c r="E1943" s="5">
        <v>-29248</v>
      </c>
      <c r="F1943" s="3" t="s">
        <v>395</v>
      </c>
      <c r="G1943" s="3" t="s">
        <v>38</v>
      </c>
      <c r="H1943" s="2" t="s">
        <v>65</v>
      </c>
      <c r="I1943" s="2" t="s">
        <v>4791</v>
      </c>
      <c r="J1943" s="3" t="str">
        <f>HYPERLINK("https://www.boe.es/gazeta/dias/1819/12/02/pdfs/GMD-1819-148.pdf#page=5","Abrir facsímil")</f>
        <v>Abrir facsímil</v>
      </c>
      <c r="K1943" s="3" t="s">
        <v>67</v>
      </c>
    </row>
    <row r="1944" spans="1:11" ht="42" customHeight="1">
      <c r="A1944" s="2" t="s">
        <v>4792</v>
      </c>
      <c r="B1944" s="2" t="s">
        <v>4793</v>
      </c>
      <c r="C1944" s="2" t="s">
        <v>80</v>
      </c>
      <c r="D1944" s="2" t="s">
        <v>81</v>
      </c>
      <c r="E1944" s="5">
        <v>-29418</v>
      </c>
      <c r="F1944" s="3" t="s">
        <v>447</v>
      </c>
      <c r="G1944" s="3" t="s">
        <v>28</v>
      </c>
      <c r="H1944" s="2" t="s">
        <v>65</v>
      </c>
      <c r="I1944" s="2" t="s">
        <v>4794</v>
      </c>
      <c r="J1944" s="3" t="str">
        <f>HYPERLINK("https://www.boe.es/gazeta/dias/1819/06/15/pdfs/GMD-1819-72.pdf#page=8","Abrir facsímil")</f>
        <v>Abrir facsímil</v>
      </c>
      <c r="K1944" s="3" t="s">
        <v>67</v>
      </c>
    </row>
    <row r="1945" spans="1:11" ht="42" customHeight="1">
      <c r="A1945" s="2" t="s">
        <v>4795</v>
      </c>
      <c r="B1945" s="2" t="s">
        <v>4796</v>
      </c>
      <c r="C1945" s="2" t="s">
        <v>63</v>
      </c>
      <c r="D1945" s="2" t="s">
        <v>43</v>
      </c>
      <c r="E1945" s="5">
        <v>-29241</v>
      </c>
      <c r="F1945" s="3" t="s">
        <v>1382</v>
      </c>
      <c r="G1945" s="3" t="s">
        <v>3247</v>
      </c>
      <c r="H1945" s="2" t="s">
        <v>65</v>
      </c>
      <c r="I1945" s="2" t="s">
        <v>4797</v>
      </c>
      <c r="J1945" s="3" t="str">
        <f>HYPERLINK("https://www.boe.es/gazeta/dias/1819/12/09/pdfs/GMD-1819-151.pdf#page=8","Abrir facsímil")</f>
        <v>Abrir facsímil</v>
      </c>
      <c r="K1945" s="3" t="s">
        <v>67</v>
      </c>
    </row>
    <row r="1946" spans="1:11" ht="42" customHeight="1">
      <c r="A1946" s="2" t="s">
        <v>4798</v>
      </c>
      <c r="B1946" s="2" t="s">
        <v>4799</v>
      </c>
      <c r="C1946" s="2" t="s">
        <v>63</v>
      </c>
      <c r="D1946" s="2" t="s">
        <v>43</v>
      </c>
      <c r="E1946" s="5">
        <v>-29304</v>
      </c>
      <c r="F1946" s="3" t="s">
        <v>519</v>
      </c>
      <c r="G1946" s="3" t="s">
        <v>55</v>
      </c>
      <c r="H1946" s="2" t="s">
        <v>65</v>
      </c>
      <c r="I1946" s="2" t="s">
        <v>4800</v>
      </c>
      <c r="J1946" s="3" t="str">
        <f>HYPERLINK("https://www.boe.es/gazeta/dias/1819/10/07/pdfs/GMD-1819-123.pdf#page=7","Abrir facsímil")</f>
        <v>Abrir facsímil</v>
      </c>
      <c r="K1946" s="3" t="s">
        <v>67</v>
      </c>
    </row>
    <row r="1947" spans="1:11" ht="42" customHeight="1">
      <c r="A1947" s="2" t="s">
        <v>4801</v>
      </c>
      <c r="B1947" s="2" t="s">
        <v>4801</v>
      </c>
      <c r="C1947" s="2" t="s">
        <v>26</v>
      </c>
      <c r="D1947" s="2" t="s">
        <v>18</v>
      </c>
      <c r="E1947" s="5">
        <v>-29374</v>
      </c>
      <c r="F1947" s="3" t="s">
        <v>204</v>
      </c>
      <c r="G1947" s="3" t="s">
        <v>28</v>
      </c>
      <c r="H1947" s="2" t="s">
        <v>65</v>
      </c>
      <c r="I1947" s="2" t="s">
        <v>4802</v>
      </c>
      <c r="J1947" s="3" t="str">
        <f>HYPERLINK("https://www.boe.es/gazeta/dias/1819/07/29/pdfs/GMD-1819-91.pdf#page=8","Abrir facsímil")</f>
        <v>Abrir facsímil</v>
      </c>
      <c r="K1947" s="3" t="s">
        <v>67</v>
      </c>
    </row>
    <row r="1948" spans="1:11" ht="42" customHeight="1">
      <c r="A1948" s="2" t="s">
        <v>4803</v>
      </c>
      <c r="B1948" s="2" t="s">
        <v>4804</v>
      </c>
      <c r="C1948" s="2" t="s">
        <v>63</v>
      </c>
      <c r="D1948" s="2" t="s">
        <v>43</v>
      </c>
      <c r="E1948" s="5">
        <v>-29304</v>
      </c>
      <c r="F1948" s="3" t="s">
        <v>519</v>
      </c>
      <c r="G1948" s="3" t="s">
        <v>55</v>
      </c>
      <c r="H1948" s="2" t="s">
        <v>65</v>
      </c>
      <c r="I1948" s="2" t="s">
        <v>4805</v>
      </c>
      <c r="J1948" s="3" t="str">
        <f>HYPERLINK("https://www.boe.es/gazeta/dias/1819/10/07/pdfs/GMD-1819-123.pdf#page=7","Abrir facsímil")</f>
        <v>Abrir facsímil</v>
      </c>
      <c r="K1948" s="3" t="s">
        <v>67</v>
      </c>
    </row>
    <row r="1949" spans="1:11" ht="42" customHeight="1">
      <c r="A1949" s="2" t="s">
        <v>4803</v>
      </c>
      <c r="B1949" s="2" t="s">
        <v>4804</v>
      </c>
      <c r="C1949" s="2" t="s">
        <v>80</v>
      </c>
      <c r="D1949" s="2" t="s">
        <v>81</v>
      </c>
      <c r="E1949" s="5">
        <v>-29274</v>
      </c>
      <c r="F1949" s="3" t="s">
        <v>247</v>
      </c>
      <c r="G1949" s="3" t="s">
        <v>55</v>
      </c>
      <c r="H1949" s="2" t="s">
        <v>65</v>
      </c>
      <c r="I1949" s="2" t="s">
        <v>4806</v>
      </c>
      <c r="J1949" s="3" t="str">
        <f>HYPERLINK("https://www.boe.es/gazeta/dias/1819/11/06/pdfs/GMD-1819-137.pdf#page=7","Abrir facsímil")</f>
        <v>Abrir facsímil</v>
      </c>
      <c r="K1949" s="3" t="s">
        <v>67</v>
      </c>
    </row>
    <row r="1950" spans="1:11" ht="42" customHeight="1">
      <c r="A1950" s="2" t="s">
        <v>4807</v>
      </c>
      <c r="B1950" s="2" t="s">
        <v>4807</v>
      </c>
      <c r="C1950" s="2" t="s">
        <v>80</v>
      </c>
      <c r="D1950" s="2" t="s">
        <v>81</v>
      </c>
      <c r="E1950" s="5">
        <v>-29554</v>
      </c>
      <c r="F1950" s="3" t="s">
        <v>150</v>
      </c>
      <c r="G1950" s="3" t="s">
        <v>28</v>
      </c>
      <c r="H1950" s="2" t="s">
        <v>65</v>
      </c>
      <c r="I1950" s="2" t="s">
        <v>4808</v>
      </c>
      <c r="J1950" s="3" t="str">
        <f>HYPERLINK("https://www.boe.es/gazeta/dias/1819/01/30/pdfs/GMD-1819-13.pdf#page=8","Abrir facsímil")</f>
        <v>Abrir facsímil</v>
      </c>
      <c r="K1950" s="3" t="s">
        <v>67</v>
      </c>
    </row>
    <row r="1951" spans="1:11" ht="42" customHeight="1">
      <c r="A1951" s="2" t="s">
        <v>4809</v>
      </c>
      <c r="B1951" s="2" t="s">
        <v>4810</v>
      </c>
      <c r="C1951" s="2" t="s">
        <v>246</v>
      </c>
      <c r="D1951" s="2" t="s">
        <v>18</v>
      </c>
      <c r="E1951" s="5">
        <v>-29467</v>
      </c>
      <c r="F1951" s="3" t="s">
        <v>1712</v>
      </c>
      <c r="G1951" s="3" t="s">
        <v>55</v>
      </c>
      <c r="H1951" s="2" t="s">
        <v>65</v>
      </c>
      <c r="I1951" s="2" t="s">
        <v>4811</v>
      </c>
      <c r="J1951" s="3" t="str">
        <f>HYPERLINK("https://www.boe.es/gazeta/dias/1819/04/27/pdfs/GMD-1819-50.pdf#page=7","Abrir facsímil")</f>
        <v>Abrir facsímil</v>
      </c>
      <c r="K1951" s="3" t="s">
        <v>67</v>
      </c>
    </row>
    <row r="1952" spans="1:11" ht="42" customHeight="1">
      <c r="A1952" s="2" t="s">
        <v>4812</v>
      </c>
      <c r="B1952" s="2" t="s">
        <v>4812</v>
      </c>
      <c r="C1952" s="2" t="s">
        <v>59</v>
      </c>
      <c r="D1952" s="2" t="s">
        <v>18</v>
      </c>
      <c r="E1952" s="5">
        <v>-29407</v>
      </c>
      <c r="F1952" s="3" t="s">
        <v>64</v>
      </c>
      <c r="G1952" s="3" t="s">
        <v>33</v>
      </c>
      <c r="H1952" s="2" t="s">
        <v>65</v>
      </c>
      <c r="I1952" s="2" t="s">
        <v>4813</v>
      </c>
      <c r="J1952" s="3" t="str">
        <f>HYPERLINK("https://www.boe.es/gazeta/dias/1819/06/26/pdfs/GMD-1819-77.pdf#page=6","Abrir facsímil")</f>
        <v>Abrir facsímil</v>
      </c>
      <c r="K1952" s="3" t="s">
        <v>67</v>
      </c>
    </row>
    <row r="1953" spans="1:11" ht="42" customHeight="1">
      <c r="A1953" s="2" t="s">
        <v>4814</v>
      </c>
      <c r="B1953" s="2" t="s">
        <v>4814</v>
      </c>
      <c r="C1953" s="2" t="s">
        <v>59</v>
      </c>
      <c r="D1953" s="2" t="s">
        <v>18</v>
      </c>
      <c r="E1953" s="5">
        <v>-29484</v>
      </c>
      <c r="F1953" s="3" t="s">
        <v>295</v>
      </c>
      <c r="G1953" s="3" t="s">
        <v>102</v>
      </c>
      <c r="H1953" s="2" t="s">
        <v>65</v>
      </c>
      <c r="I1953" s="2" t="s">
        <v>4815</v>
      </c>
      <c r="J1953" s="3" t="str">
        <f>HYPERLINK("https://www.boe.es/gazeta/dias/1819/04/10/pdfs/GMD-1819-43.pdf#page=3","Abrir facsímil")</f>
        <v>Abrir facsímil</v>
      </c>
      <c r="K1953" s="3" t="s">
        <v>67</v>
      </c>
    </row>
    <row r="1954" spans="1:11" ht="42" customHeight="1">
      <c r="A1954" s="2" t="s">
        <v>4816</v>
      </c>
      <c r="B1954" s="2" t="s">
        <v>4816</v>
      </c>
      <c r="C1954" s="2" t="s">
        <v>80</v>
      </c>
      <c r="D1954" s="2" t="s">
        <v>81</v>
      </c>
      <c r="E1954" s="5">
        <v>-29502</v>
      </c>
      <c r="F1954" s="3" t="s">
        <v>86</v>
      </c>
      <c r="G1954" s="3" t="s">
        <v>2658</v>
      </c>
      <c r="H1954" s="2" t="s">
        <v>65</v>
      </c>
      <c r="I1954" s="2" t="s">
        <v>4817</v>
      </c>
      <c r="J1954" s="3" t="str">
        <f>HYPERLINK("https://www.boe.es/gazeta/dias/1819/03/23/pdfs/GMD-1819-35.pdf#page=4","Abrir facsímil")</f>
        <v>Abrir facsímil</v>
      </c>
      <c r="K1954" s="3" t="s">
        <v>67</v>
      </c>
    </row>
    <row r="1955" spans="1:11" ht="42" customHeight="1">
      <c r="A1955" s="2" t="s">
        <v>4816</v>
      </c>
      <c r="B1955" s="2" t="s">
        <v>4816</v>
      </c>
      <c r="C1955" s="2" t="s">
        <v>80</v>
      </c>
      <c r="D1955" s="2" t="s">
        <v>81</v>
      </c>
      <c r="E1955" s="5">
        <v>-29479</v>
      </c>
      <c r="F1955" s="3" t="s">
        <v>979</v>
      </c>
      <c r="G1955" s="3" t="s">
        <v>259</v>
      </c>
      <c r="H1955" s="2" t="s">
        <v>65</v>
      </c>
      <c r="I1955" s="2" t="s">
        <v>4818</v>
      </c>
      <c r="J1955" s="3" t="str">
        <f>HYPERLINK("https://www.boe.es/gazeta/dias/1819/04/15/pdfs/GMD-1819-45.pdf#page=2","Abrir facsímil")</f>
        <v>Abrir facsímil</v>
      </c>
      <c r="K1955" s="3" t="s">
        <v>67</v>
      </c>
    </row>
    <row r="1956" spans="1:11" ht="42" customHeight="1">
      <c r="A1956" s="2" t="s">
        <v>4819</v>
      </c>
      <c r="B1956" s="2" t="s">
        <v>4820</v>
      </c>
      <c r="C1956" s="2" t="s">
        <v>80</v>
      </c>
      <c r="D1956" s="2" t="s">
        <v>81</v>
      </c>
      <c r="E1956" s="5">
        <v>-29579</v>
      </c>
      <c r="F1956" s="3" t="s">
        <v>186</v>
      </c>
      <c r="G1956" s="3" t="s">
        <v>55</v>
      </c>
      <c r="H1956" s="2" t="s">
        <v>65</v>
      </c>
      <c r="I1956" s="2" t="s">
        <v>4821</v>
      </c>
      <c r="J1956" s="3" t="str">
        <f>HYPERLINK("https://www.boe.es/gazeta/dias/1819/01/05/pdfs/GMD-1819-2.pdf#page=7","Abrir facsímil")</f>
        <v>Abrir facsímil</v>
      </c>
      <c r="K1956" s="3" t="s">
        <v>67</v>
      </c>
    </row>
    <row r="1957" spans="1:11" ht="42" customHeight="1">
      <c r="A1957" s="2" t="s">
        <v>4822</v>
      </c>
      <c r="B1957" s="2" t="s">
        <v>4823</v>
      </c>
      <c r="C1957" s="2" t="s">
        <v>59</v>
      </c>
      <c r="D1957" s="2" t="s">
        <v>18</v>
      </c>
      <c r="E1957" s="5">
        <v>-29561</v>
      </c>
      <c r="F1957" s="3" t="s">
        <v>290</v>
      </c>
      <c r="G1957" s="3" t="s">
        <v>28</v>
      </c>
      <c r="H1957" s="2" t="s">
        <v>65</v>
      </c>
      <c r="I1957" s="2" t="s">
        <v>4824</v>
      </c>
      <c r="J1957" s="3" t="str">
        <f>HYPERLINK("https://www.boe.es/gazeta/dias/1819/01/23/pdfs/GMD-1819-10.pdf#page=8","Abrir facsímil")</f>
        <v>Abrir facsímil</v>
      </c>
      <c r="K1957" s="3" t="s">
        <v>67</v>
      </c>
    </row>
    <row r="1958" spans="1:11" ht="42" customHeight="1">
      <c r="A1958" s="2" t="s">
        <v>4825</v>
      </c>
      <c r="B1958" s="2" t="s">
        <v>4826</v>
      </c>
      <c r="C1958" s="2" t="s">
        <v>136</v>
      </c>
      <c r="D1958" s="2" t="s">
        <v>18</v>
      </c>
      <c r="E1958" s="5">
        <v>-29393</v>
      </c>
      <c r="F1958" s="3" t="s">
        <v>536</v>
      </c>
      <c r="G1958" s="3" t="s">
        <v>28</v>
      </c>
      <c r="H1958" s="2" t="s">
        <v>65</v>
      </c>
      <c r="I1958" s="2" t="s">
        <v>4827</v>
      </c>
      <c r="J1958" s="3" t="str">
        <f>HYPERLINK("https://www.boe.es/gazeta/dias/1819/07/10/pdfs/GMD-1819-83.pdf#page=8","Abrir facsímil")</f>
        <v>Abrir facsímil</v>
      </c>
      <c r="K1958" s="3" t="s">
        <v>67</v>
      </c>
    </row>
    <row r="1959" spans="1:11" ht="42" customHeight="1">
      <c r="A1959" s="2" t="s">
        <v>4828</v>
      </c>
      <c r="B1959" s="2" t="s">
        <v>4828</v>
      </c>
      <c r="C1959" s="2" t="s">
        <v>59</v>
      </c>
      <c r="D1959" s="2" t="s">
        <v>18</v>
      </c>
      <c r="E1959" s="5">
        <v>-29369</v>
      </c>
      <c r="F1959" s="3" t="s">
        <v>231</v>
      </c>
      <c r="G1959" s="3" t="s">
        <v>55</v>
      </c>
      <c r="H1959" s="2" t="s">
        <v>65</v>
      </c>
      <c r="I1959" s="2" t="s">
        <v>4829</v>
      </c>
      <c r="J1959" s="3" t="str">
        <f>HYPERLINK("https://www.boe.es/gazeta/dias/1819/08/03/pdfs/GMD-1819-93.pdf#page=7","Abrir facsímil")</f>
        <v>Abrir facsímil</v>
      </c>
      <c r="K1959" s="3" t="s">
        <v>67</v>
      </c>
    </row>
    <row r="1960" spans="1:11" ht="42" customHeight="1">
      <c r="A1960" s="2" t="s">
        <v>4828</v>
      </c>
      <c r="B1960" s="2" t="s">
        <v>4828</v>
      </c>
      <c r="C1960" s="2" t="s">
        <v>63</v>
      </c>
      <c r="D1960" s="2" t="s">
        <v>43</v>
      </c>
      <c r="E1960" s="5">
        <v>-29304</v>
      </c>
      <c r="F1960" s="3" t="s">
        <v>519</v>
      </c>
      <c r="G1960" s="3" t="s">
        <v>28</v>
      </c>
      <c r="H1960" s="2" t="s">
        <v>65</v>
      </c>
      <c r="I1960" s="2" t="s">
        <v>4830</v>
      </c>
      <c r="J1960" s="3" t="str">
        <f>HYPERLINK("https://www.boe.es/gazeta/dias/1819/10/07/pdfs/GMD-1819-123.pdf#page=8","Abrir facsímil")</f>
        <v>Abrir facsímil</v>
      </c>
      <c r="K1960" s="3" t="s">
        <v>67</v>
      </c>
    </row>
    <row r="1961" spans="1:11" ht="42" customHeight="1">
      <c r="A1961" s="2" t="s">
        <v>4828</v>
      </c>
      <c r="B1961" s="2" t="s">
        <v>4828</v>
      </c>
      <c r="C1961" s="2" t="s">
        <v>136</v>
      </c>
      <c r="D1961" s="2" t="s">
        <v>18</v>
      </c>
      <c r="E1961" s="5">
        <v>-29255</v>
      </c>
      <c r="F1961" s="3" t="s">
        <v>357</v>
      </c>
      <c r="G1961" s="3" t="s">
        <v>28</v>
      </c>
      <c r="H1961" s="2" t="s">
        <v>65</v>
      </c>
      <c r="I1961" s="2" t="s">
        <v>4831</v>
      </c>
      <c r="J1961" s="3" t="str">
        <f>HYPERLINK("https://www.boe.es/gazeta/dias/1819/11/25/pdfs/GMD-1819-145.pdf#page=8","Abrir facsímil")</f>
        <v>Abrir facsímil</v>
      </c>
      <c r="K1961" s="3" t="s">
        <v>67</v>
      </c>
    </row>
    <row r="1962" spans="1:11" ht="42" customHeight="1">
      <c r="A1962" s="2" t="s">
        <v>4832</v>
      </c>
      <c r="B1962" s="2" t="s">
        <v>4832</v>
      </c>
      <c r="C1962" s="2" t="s">
        <v>80</v>
      </c>
      <c r="D1962" s="2" t="s">
        <v>81</v>
      </c>
      <c r="E1962" s="5">
        <v>-29575</v>
      </c>
      <c r="F1962" s="3" t="s">
        <v>77</v>
      </c>
      <c r="G1962" s="3" t="s">
        <v>55</v>
      </c>
      <c r="H1962" s="2" t="s">
        <v>65</v>
      </c>
      <c r="I1962" s="2" t="s">
        <v>4833</v>
      </c>
      <c r="J1962" s="3" t="str">
        <f>HYPERLINK("https://www.boe.es/gazeta/dias/1819/01/09/pdfs/GMD-1819-4.pdf#page=7","Abrir facsímil")</f>
        <v>Abrir facsímil</v>
      </c>
      <c r="K1962" s="3" t="s">
        <v>67</v>
      </c>
    </row>
    <row r="1963" spans="1:11" ht="42" customHeight="1">
      <c r="A1963" s="2" t="s">
        <v>4832</v>
      </c>
      <c r="B1963" s="2" t="s">
        <v>4832</v>
      </c>
      <c r="C1963" s="2" t="s">
        <v>80</v>
      </c>
      <c r="D1963" s="2" t="s">
        <v>81</v>
      </c>
      <c r="E1963" s="5">
        <v>-29551</v>
      </c>
      <c r="F1963" s="3" t="s">
        <v>2173</v>
      </c>
      <c r="G1963" s="3" t="s">
        <v>55</v>
      </c>
      <c r="H1963" s="2" t="s">
        <v>65</v>
      </c>
      <c r="I1963" s="2" t="s">
        <v>4834</v>
      </c>
      <c r="J1963" s="3" t="str">
        <f>HYPERLINK("https://www.boe.es/gazeta/dias/1819/02/02/pdfs/GMD-1819-14.pdf#page=7","Abrir facsímil")</f>
        <v>Abrir facsímil</v>
      </c>
      <c r="K1963" s="3" t="s">
        <v>67</v>
      </c>
    </row>
    <row r="1964" spans="1:11" ht="42" customHeight="1">
      <c r="A1964" s="2" t="s">
        <v>4832</v>
      </c>
      <c r="B1964" s="2" t="s">
        <v>4832</v>
      </c>
      <c r="C1964" s="2" t="s">
        <v>63</v>
      </c>
      <c r="D1964" s="2" t="s">
        <v>43</v>
      </c>
      <c r="E1964" s="5">
        <v>-29502</v>
      </c>
      <c r="F1964" s="3" t="s">
        <v>86</v>
      </c>
      <c r="G1964" s="3" t="s">
        <v>28</v>
      </c>
      <c r="H1964" s="2" t="s">
        <v>65</v>
      </c>
      <c r="I1964" s="2" t="s">
        <v>4835</v>
      </c>
      <c r="J1964" s="3" t="str">
        <f>HYPERLINK("https://www.boe.es/gazeta/dias/1819/03/23/pdfs/GMD-1819-35.pdf#page=8","Abrir facsímil")</f>
        <v>Abrir facsímil</v>
      </c>
      <c r="K1964" s="3" t="s">
        <v>67</v>
      </c>
    </row>
    <row r="1965" spans="1:11" ht="42" customHeight="1">
      <c r="A1965" s="2" t="s">
        <v>4832</v>
      </c>
      <c r="B1965" s="2" t="s">
        <v>4832</v>
      </c>
      <c r="C1965" s="2" t="s">
        <v>63</v>
      </c>
      <c r="D1965" s="2" t="s">
        <v>43</v>
      </c>
      <c r="E1965" s="5">
        <v>-29486</v>
      </c>
      <c r="F1965" s="3" t="s">
        <v>330</v>
      </c>
      <c r="G1965" s="3" t="s">
        <v>28</v>
      </c>
      <c r="H1965" s="2" t="s">
        <v>65</v>
      </c>
      <c r="I1965" s="2" t="s">
        <v>4836</v>
      </c>
      <c r="J1965" s="3" t="str">
        <f>HYPERLINK("https://www.boe.es/gazeta/dias/1819/04/08/pdfs/GMD-1819-42.pdf#page=8","Abrir facsímil")</f>
        <v>Abrir facsímil</v>
      </c>
      <c r="K1965" s="3" t="s">
        <v>67</v>
      </c>
    </row>
    <row r="1966" spans="1:11" ht="42" customHeight="1">
      <c r="A1966" s="2" t="s">
        <v>4832</v>
      </c>
      <c r="B1966" s="2" t="s">
        <v>4832</v>
      </c>
      <c r="C1966" s="2" t="s">
        <v>80</v>
      </c>
      <c r="D1966" s="2" t="s">
        <v>81</v>
      </c>
      <c r="E1966" s="5">
        <v>-29470</v>
      </c>
      <c r="F1966" s="3" t="s">
        <v>1188</v>
      </c>
      <c r="G1966" s="3" t="s">
        <v>296</v>
      </c>
      <c r="H1966" s="2" t="s">
        <v>65</v>
      </c>
      <c r="I1966" s="2" t="s">
        <v>4837</v>
      </c>
      <c r="J1966" s="3" t="str">
        <f>HYPERLINK("https://www.boe.es/gazeta/dias/1819/04/24/pdfs/GMD-1819-49.pdf#page=4","Abrir facsímil")</f>
        <v>Abrir facsímil</v>
      </c>
      <c r="K1966" s="3" t="s">
        <v>67</v>
      </c>
    </row>
    <row r="1967" spans="1:11" ht="42" customHeight="1">
      <c r="A1967" s="2" t="s">
        <v>4832</v>
      </c>
      <c r="B1967" s="2" t="s">
        <v>4832</v>
      </c>
      <c r="C1967" s="2" t="s">
        <v>59</v>
      </c>
      <c r="D1967" s="2" t="s">
        <v>18</v>
      </c>
      <c r="E1967" s="5">
        <v>-29446</v>
      </c>
      <c r="F1967" s="3" t="s">
        <v>773</v>
      </c>
      <c r="G1967" s="3" t="s">
        <v>776</v>
      </c>
      <c r="H1967" s="2" t="s">
        <v>65</v>
      </c>
      <c r="I1967" s="2" t="s">
        <v>4838</v>
      </c>
      <c r="J1967" s="3" t="str">
        <f>HYPERLINK("https://www.boe.es/gazeta/dias/1819/05/18/pdfs/GMD-1819-59.pdf#page=7","Abrir facsímil")</f>
        <v>Abrir facsímil</v>
      </c>
      <c r="K1967" s="3" t="s">
        <v>67</v>
      </c>
    </row>
    <row r="1968" spans="1:11" ht="42" customHeight="1">
      <c r="A1968" s="2" t="s">
        <v>4832</v>
      </c>
      <c r="B1968" s="2" t="s">
        <v>4832</v>
      </c>
      <c r="C1968" s="2" t="s">
        <v>26</v>
      </c>
      <c r="D1968" s="2" t="s">
        <v>18</v>
      </c>
      <c r="E1968" s="5">
        <v>-29444</v>
      </c>
      <c r="F1968" s="3" t="s">
        <v>258</v>
      </c>
      <c r="G1968" s="3" t="s">
        <v>28</v>
      </c>
      <c r="H1968" s="2" t="s">
        <v>65</v>
      </c>
      <c r="I1968" s="2" t="s">
        <v>4839</v>
      </c>
      <c r="J1968" s="3" t="str">
        <f>HYPERLINK("https://www.boe.es/gazeta/dias/1819/05/20/pdfs/GMD-1819-60.pdf#page=8","Abrir facsímil")</f>
        <v>Abrir facsímil</v>
      </c>
      <c r="K1968" s="3" t="s">
        <v>67</v>
      </c>
    </row>
    <row r="1969" spans="1:11" ht="42" customHeight="1">
      <c r="A1969" s="2" t="s">
        <v>4832</v>
      </c>
      <c r="B1969" s="2" t="s">
        <v>4832</v>
      </c>
      <c r="C1969" s="2" t="s">
        <v>215</v>
      </c>
      <c r="D1969" s="2" t="s">
        <v>18</v>
      </c>
      <c r="E1969" s="5">
        <v>-29372</v>
      </c>
      <c r="F1969" s="3" t="s">
        <v>715</v>
      </c>
      <c r="G1969" s="3" t="s">
        <v>28</v>
      </c>
      <c r="H1969" s="2" t="s">
        <v>65</v>
      </c>
      <c r="I1969" s="2" t="s">
        <v>4840</v>
      </c>
      <c r="J1969" s="3" t="str">
        <f>HYPERLINK("https://www.boe.es/gazeta/dias/1819/07/31/pdfs/GMD-1819-92.pdf#page=8","Abrir facsímil")</f>
        <v>Abrir facsímil</v>
      </c>
      <c r="K1969" s="3" t="s">
        <v>67</v>
      </c>
    </row>
    <row r="1970" spans="1:11" ht="42" customHeight="1">
      <c r="A1970" s="2" t="s">
        <v>4832</v>
      </c>
      <c r="B1970" s="2" t="s">
        <v>4832</v>
      </c>
      <c r="C1970" s="2" t="s">
        <v>59</v>
      </c>
      <c r="D1970" s="2" t="s">
        <v>18</v>
      </c>
      <c r="E1970" s="5">
        <v>-29369</v>
      </c>
      <c r="F1970" s="3" t="s">
        <v>231</v>
      </c>
      <c r="G1970" s="3" t="s">
        <v>33</v>
      </c>
      <c r="H1970" s="2" t="s">
        <v>65</v>
      </c>
      <c r="I1970" s="2" t="s">
        <v>4841</v>
      </c>
      <c r="J1970" s="3" t="str">
        <f>HYPERLINK("https://www.boe.es/gazeta/dias/1819/08/03/pdfs/GMD-1819-93.pdf#page=6","Abrir facsímil")</f>
        <v>Abrir facsímil</v>
      </c>
      <c r="K1970" s="3" t="s">
        <v>67</v>
      </c>
    </row>
    <row r="1971" spans="1:11" ht="42" customHeight="1">
      <c r="A1971" s="2" t="s">
        <v>4832</v>
      </c>
      <c r="B1971" s="2" t="s">
        <v>4832</v>
      </c>
      <c r="C1971" s="2" t="s">
        <v>17</v>
      </c>
      <c r="D1971" s="2" t="s">
        <v>18</v>
      </c>
      <c r="E1971" s="5">
        <v>-29341</v>
      </c>
      <c r="F1971" s="3" t="s">
        <v>806</v>
      </c>
      <c r="G1971" s="3" t="s">
        <v>28</v>
      </c>
      <c r="H1971" s="2" t="s">
        <v>65</v>
      </c>
      <c r="I1971" s="2" t="s">
        <v>4842</v>
      </c>
      <c r="J1971" s="3" t="str">
        <f>HYPERLINK("https://www.boe.es/gazeta/dias/1819/08/31/pdfs/GMD-1819-105.pdf#page=8","Abrir facsímil")</f>
        <v>Abrir facsímil</v>
      </c>
      <c r="K1971" s="3" t="s">
        <v>67</v>
      </c>
    </row>
    <row r="1972" spans="1:11" ht="42" customHeight="1">
      <c r="A1972" s="2" t="s">
        <v>4832</v>
      </c>
      <c r="B1972" s="2" t="s">
        <v>4832</v>
      </c>
      <c r="C1972" s="2" t="s">
        <v>59</v>
      </c>
      <c r="D1972" s="2" t="s">
        <v>18</v>
      </c>
      <c r="E1972" s="5">
        <v>-29337</v>
      </c>
      <c r="F1972" s="3" t="s">
        <v>1098</v>
      </c>
      <c r="G1972" s="3" t="s">
        <v>38</v>
      </c>
      <c r="H1972" s="2" t="s">
        <v>65</v>
      </c>
      <c r="I1972" s="2" t="s">
        <v>4843</v>
      </c>
      <c r="J1972" s="3" t="str">
        <f>HYPERLINK("https://www.boe.es/gazeta/dias/1819/09/04/pdfs/GMD-1819-108.pdf#page=5","Abrir facsímil")</f>
        <v>Abrir facsímil</v>
      </c>
      <c r="K1972" s="3" t="s">
        <v>67</v>
      </c>
    </row>
    <row r="1973" spans="1:11" ht="42" customHeight="1">
      <c r="A1973" s="2" t="s">
        <v>4832</v>
      </c>
      <c r="B1973" s="2" t="s">
        <v>4832</v>
      </c>
      <c r="C1973" s="2" t="s">
        <v>136</v>
      </c>
      <c r="D1973" s="2" t="s">
        <v>18</v>
      </c>
      <c r="E1973" s="5">
        <v>-29316</v>
      </c>
      <c r="F1973" s="3" t="s">
        <v>166</v>
      </c>
      <c r="G1973" s="3" t="s">
        <v>138</v>
      </c>
      <c r="H1973" s="2" t="s">
        <v>65</v>
      </c>
      <c r="I1973" s="2" t="s">
        <v>4844</v>
      </c>
      <c r="J1973" s="3" t="str">
        <f>HYPERLINK("https://www.boe.es/gazeta/dias/1819/09/25/pdfs/GMD-1819-118.pdf#page=12","Abrir facsímil")</f>
        <v>Abrir facsímil</v>
      </c>
      <c r="K1973" s="3" t="s">
        <v>67</v>
      </c>
    </row>
    <row r="1974" spans="1:11" ht="42" customHeight="1">
      <c r="A1974" s="2" t="s">
        <v>4832</v>
      </c>
      <c r="B1974" s="2" t="s">
        <v>4832</v>
      </c>
      <c r="C1974" s="2" t="s">
        <v>63</v>
      </c>
      <c r="D1974" s="2" t="s">
        <v>43</v>
      </c>
      <c r="E1974" s="5">
        <v>-29311</v>
      </c>
      <c r="F1974" s="3" t="s">
        <v>678</v>
      </c>
      <c r="G1974" s="3" t="s">
        <v>33</v>
      </c>
      <c r="H1974" s="2" t="s">
        <v>65</v>
      </c>
      <c r="I1974" s="2" t="s">
        <v>4845</v>
      </c>
      <c r="J1974" s="3" t="str">
        <f>HYPERLINK("https://www.boe.es/gazeta/dias/1819/09/30/pdfs/GMD-1819-120.pdf#page=6","Abrir facsímil")</f>
        <v>Abrir facsímil</v>
      </c>
      <c r="K1974" s="3" t="s">
        <v>67</v>
      </c>
    </row>
    <row r="1975" spans="1:11" ht="42" customHeight="1">
      <c r="A1975" s="2" t="s">
        <v>4832</v>
      </c>
      <c r="B1975" s="2" t="s">
        <v>4832</v>
      </c>
      <c r="C1975" s="2" t="s">
        <v>80</v>
      </c>
      <c r="D1975" s="2" t="s">
        <v>81</v>
      </c>
      <c r="E1975" s="5">
        <v>-29297</v>
      </c>
      <c r="F1975" s="3" t="s">
        <v>82</v>
      </c>
      <c r="G1975" s="3" t="s">
        <v>28</v>
      </c>
      <c r="H1975" s="2" t="s">
        <v>65</v>
      </c>
      <c r="I1975" s="2" t="s">
        <v>4846</v>
      </c>
      <c r="J1975" s="3" t="str">
        <f>HYPERLINK("https://www.boe.es/gazeta/dias/1819/10/14/pdfs/GMD-1819-126.pdf#page=8","Abrir facsímil")</f>
        <v>Abrir facsímil</v>
      </c>
      <c r="K1975" s="3" t="s">
        <v>67</v>
      </c>
    </row>
    <row r="1976" spans="1:11" ht="42" customHeight="1">
      <c r="A1976" s="2" t="s">
        <v>4832</v>
      </c>
      <c r="B1976" s="2" t="s">
        <v>4832</v>
      </c>
      <c r="C1976" s="2" t="s">
        <v>80</v>
      </c>
      <c r="D1976" s="2" t="s">
        <v>454</v>
      </c>
      <c r="E1976" s="5">
        <v>-29287</v>
      </c>
      <c r="F1976" s="3" t="s">
        <v>455</v>
      </c>
      <c r="G1976" s="3" t="s">
        <v>456</v>
      </c>
      <c r="H1976" s="2" t="s">
        <v>65</v>
      </c>
      <c r="I1976" s="2" t="s">
        <v>4847</v>
      </c>
      <c r="J1976" s="3" t="str">
        <f>HYPERLINK("https://www.boe.es/gazeta/dias/1819/10/24/pdfs/GMD-1819-131E.pdf#page=9","Abrir facsímil")</f>
        <v>Abrir facsímil</v>
      </c>
      <c r="K1976" s="3" t="s">
        <v>67</v>
      </c>
    </row>
    <row r="1977" spans="1:11" ht="42" customHeight="1">
      <c r="A1977" s="2" t="s">
        <v>4832</v>
      </c>
      <c r="B1977" s="2" t="s">
        <v>4832</v>
      </c>
      <c r="C1977" s="2" t="s">
        <v>80</v>
      </c>
      <c r="D1977" s="2" t="s">
        <v>81</v>
      </c>
      <c r="E1977" s="5">
        <v>-29248</v>
      </c>
      <c r="F1977" s="3" t="s">
        <v>395</v>
      </c>
      <c r="G1977" s="3" t="s">
        <v>1179</v>
      </c>
      <c r="H1977" s="2" t="s">
        <v>65</v>
      </c>
      <c r="I1977" s="2" t="s">
        <v>4848</v>
      </c>
      <c r="J1977" s="3" t="str">
        <f>HYPERLINK("https://www.boe.es/gazeta/dias/1819/12/02/pdfs/GMD-1819-148.pdf#page=10","Abrir facsímil")</f>
        <v>Abrir facsímil</v>
      </c>
      <c r="K1977" s="3" t="s">
        <v>67</v>
      </c>
    </row>
    <row r="1978" spans="1:11" ht="42" customHeight="1">
      <c r="A1978" s="2" t="s">
        <v>4832</v>
      </c>
      <c r="B1978" s="2" t="s">
        <v>4832</v>
      </c>
      <c r="C1978" s="2" t="s">
        <v>136</v>
      </c>
      <c r="D1978" s="2" t="s">
        <v>18</v>
      </c>
      <c r="E1978" s="5">
        <v>-29239</v>
      </c>
      <c r="F1978" s="3" t="s">
        <v>724</v>
      </c>
      <c r="G1978" s="3" t="s">
        <v>28</v>
      </c>
      <c r="H1978" s="2" t="s">
        <v>65</v>
      </c>
      <c r="I1978" s="2" t="s">
        <v>4849</v>
      </c>
      <c r="J1978" s="3" t="str">
        <f>HYPERLINK("https://www.boe.es/gazeta/dias/1819/12/11/pdfs/GMD-1819-152.pdf#page=8","Abrir facsímil")</f>
        <v>Abrir facsímil</v>
      </c>
      <c r="K1978" s="3" t="s">
        <v>67</v>
      </c>
    </row>
    <row r="1979" spans="1:11" ht="42" customHeight="1">
      <c r="A1979" s="2" t="s">
        <v>4832</v>
      </c>
      <c r="B1979" s="2" t="s">
        <v>4832</v>
      </c>
      <c r="C1979" s="2" t="s">
        <v>80</v>
      </c>
      <c r="D1979" s="2" t="s">
        <v>81</v>
      </c>
      <c r="E1979" s="5">
        <v>-29225</v>
      </c>
      <c r="F1979" s="3" t="s">
        <v>472</v>
      </c>
      <c r="G1979" s="3" t="s">
        <v>38</v>
      </c>
      <c r="H1979" s="2" t="s">
        <v>65</v>
      </c>
      <c r="I1979" s="2" t="s">
        <v>4850</v>
      </c>
      <c r="J1979" s="3" t="str">
        <f>HYPERLINK("https://www.boe.es/gazeta/dias/1819/12/25/pdfs/GMD-1819-158.pdf#page=5","Abrir facsímil")</f>
        <v>Abrir facsímil</v>
      </c>
      <c r="K1979" s="3" t="s">
        <v>67</v>
      </c>
    </row>
    <row r="1980" spans="1:11" ht="42" customHeight="1">
      <c r="A1980" s="2" t="s">
        <v>4832</v>
      </c>
      <c r="B1980" s="2" t="s">
        <v>4832</v>
      </c>
      <c r="C1980" s="2" t="s">
        <v>136</v>
      </c>
      <c r="D1980" s="2" t="s">
        <v>18</v>
      </c>
      <c r="E1980" s="5">
        <v>-29225</v>
      </c>
      <c r="F1980" s="3" t="s">
        <v>472</v>
      </c>
      <c r="G1980" s="3" t="s">
        <v>55</v>
      </c>
      <c r="H1980" s="2" t="s">
        <v>65</v>
      </c>
      <c r="I1980" s="2" t="s">
        <v>4851</v>
      </c>
      <c r="J1980" s="3" t="str">
        <f>HYPERLINK("https://www.boe.es/gazeta/dias/1819/12/25/pdfs/GMD-1819-158.pdf#page=7","Abrir facsímil")</f>
        <v>Abrir facsímil</v>
      </c>
      <c r="K1980" s="3" t="s">
        <v>67</v>
      </c>
    </row>
    <row r="1981" spans="1:11" ht="42" customHeight="1">
      <c r="A1981" s="2" t="s">
        <v>4852</v>
      </c>
      <c r="B1981" s="2" t="s">
        <v>4853</v>
      </c>
      <c r="C1981" s="2" t="s">
        <v>63</v>
      </c>
      <c r="D1981" s="2" t="s">
        <v>43</v>
      </c>
      <c r="E1981" s="5">
        <v>-29353</v>
      </c>
      <c r="F1981" s="3" t="s">
        <v>867</v>
      </c>
      <c r="G1981" s="3" t="s">
        <v>28</v>
      </c>
      <c r="H1981" s="2" t="s">
        <v>21</v>
      </c>
      <c r="I1981" s="2" t="s">
        <v>4854</v>
      </c>
      <c r="J1981" s="3" t="str">
        <f>HYPERLINK("https://www.boe.es/gazeta/dias/1819/08/19/pdfs/GMD-1819-100.pdf#page=8","Abrir facsímil")</f>
        <v>Abrir facsímil</v>
      </c>
      <c r="K1981" s="3" t="s">
        <v>23</v>
      </c>
    </row>
    <row r="1982" spans="1:11" ht="42" customHeight="1">
      <c r="A1982" s="2" t="s">
        <v>4855</v>
      </c>
      <c r="B1982" s="2" t="s">
        <v>4856</v>
      </c>
      <c r="C1982" s="2" t="s">
        <v>59</v>
      </c>
      <c r="D1982" s="2" t="s">
        <v>18</v>
      </c>
      <c r="E1982" s="5">
        <v>-29474</v>
      </c>
      <c r="F1982" s="3" t="s">
        <v>216</v>
      </c>
      <c r="G1982" s="3" t="s">
        <v>28</v>
      </c>
      <c r="H1982" s="2" t="s">
        <v>65</v>
      </c>
      <c r="I1982" s="2" t="s">
        <v>4857</v>
      </c>
      <c r="J1982" s="3" t="str">
        <f>HYPERLINK("https://www.boe.es/gazeta/dias/1819/04/20/pdfs/GMD-1819-47.pdf#page=8","Abrir facsímil")</f>
        <v>Abrir facsímil</v>
      </c>
      <c r="K1982" s="3" t="s">
        <v>67</v>
      </c>
    </row>
    <row r="1983" spans="1:11" ht="42" customHeight="1">
      <c r="A1983" s="2" t="s">
        <v>4858</v>
      </c>
      <c r="B1983" s="2" t="s">
        <v>4859</v>
      </c>
      <c r="C1983" s="2" t="s">
        <v>59</v>
      </c>
      <c r="D1983" s="2" t="s">
        <v>18</v>
      </c>
      <c r="E1983" s="5">
        <v>-29264</v>
      </c>
      <c r="F1983" s="3" t="s">
        <v>37</v>
      </c>
      <c r="G1983" s="3" t="s">
        <v>38</v>
      </c>
      <c r="H1983" s="2" t="s">
        <v>65</v>
      </c>
      <c r="I1983" s="2" t="s">
        <v>4860</v>
      </c>
      <c r="J1983" s="3" t="str">
        <f>HYPERLINK("https://www.boe.es/gazeta/dias/1819/11/16/pdfs/GMD-1819-141.pdf#page=5","Abrir facsímil")</f>
        <v>Abrir facsímil</v>
      </c>
      <c r="K1983" s="3" t="s">
        <v>67</v>
      </c>
    </row>
    <row r="1984" spans="1:11" ht="42" customHeight="1">
      <c r="A1984" s="2" t="s">
        <v>4861</v>
      </c>
      <c r="B1984" s="2" t="s">
        <v>4861</v>
      </c>
      <c r="C1984" s="2" t="s">
        <v>17</v>
      </c>
      <c r="D1984" s="2" t="s">
        <v>18</v>
      </c>
      <c r="E1984" s="5">
        <v>-29463</v>
      </c>
      <c r="F1984" s="3" t="s">
        <v>114</v>
      </c>
      <c r="G1984" s="3" t="s">
        <v>115</v>
      </c>
      <c r="H1984" s="2" t="s">
        <v>65</v>
      </c>
      <c r="I1984" s="2" t="s">
        <v>4862</v>
      </c>
      <c r="J1984" s="3" t="str">
        <f>HYPERLINK("https://www.boe.es/gazeta/dias/1819/05/01/pdfs/GMD-1819-52.pdf#page=7","Abrir facsímil")</f>
        <v>Abrir facsímil</v>
      </c>
      <c r="K1984" s="3" t="s">
        <v>67</v>
      </c>
    </row>
    <row r="1985" spans="1:11" ht="42" customHeight="1">
      <c r="A1985" s="2" t="s">
        <v>4863</v>
      </c>
      <c r="B1985" s="2" t="s">
        <v>4864</v>
      </c>
      <c r="C1985" s="2" t="s">
        <v>63</v>
      </c>
      <c r="D1985" s="2" t="s">
        <v>43</v>
      </c>
      <c r="E1985" s="5">
        <v>-29299</v>
      </c>
      <c r="F1985" s="3" t="s">
        <v>798</v>
      </c>
      <c r="G1985" s="3" t="s">
        <v>3602</v>
      </c>
      <c r="H1985" s="2" t="s">
        <v>65</v>
      </c>
      <c r="I1985" s="2" t="s">
        <v>4865</v>
      </c>
      <c r="J1985" s="3" t="str">
        <f>HYPERLINK("https://www.boe.es/gazeta/dias/1819/10/12/pdfs/GMD-1819-125.pdf#page=7","Abrir facsímil")</f>
        <v>Abrir facsímil</v>
      </c>
      <c r="K1985" s="3" t="s">
        <v>67</v>
      </c>
    </row>
    <row r="1986" spans="1:11" ht="42" customHeight="1">
      <c r="A1986" s="2" t="s">
        <v>4866</v>
      </c>
      <c r="B1986" s="2" t="s">
        <v>4866</v>
      </c>
      <c r="C1986" s="2" t="s">
        <v>26</v>
      </c>
      <c r="D1986" s="2" t="s">
        <v>18</v>
      </c>
      <c r="E1986" s="5">
        <v>-29344</v>
      </c>
      <c r="F1986" s="3" t="s">
        <v>1865</v>
      </c>
      <c r="G1986" s="3" t="s">
        <v>28</v>
      </c>
      <c r="H1986" s="2" t="s">
        <v>65</v>
      </c>
      <c r="I1986" s="2" t="s">
        <v>4867</v>
      </c>
      <c r="J1986" s="3" t="str">
        <f>HYPERLINK("https://www.boe.es/gazeta/dias/1819/08/28/pdfs/GMD-1819-104.pdf#page=8","Abrir facsímil")</f>
        <v>Abrir facsímil</v>
      </c>
      <c r="K1986" s="3" t="s">
        <v>67</v>
      </c>
    </row>
    <row r="1987" spans="1:11" ht="42" customHeight="1">
      <c r="A1987" s="2" t="s">
        <v>4868</v>
      </c>
      <c r="B1987" s="2" t="s">
        <v>4869</v>
      </c>
      <c r="C1987" s="2" t="s">
        <v>26</v>
      </c>
      <c r="D1987" s="2" t="s">
        <v>18</v>
      </c>
      <c r="E1987" s="5">
        <v>-29509</v>
      </c>
      <c r="F1987" s="3" t="s">
        <v>942</v>
      </c>
      <c r="G1987" s="3" t="s">
        <v>33</v>
      </c>
      <c r="H1987" s="2" t="s">
        <v>21</v>
      </c>
      <c r="I1987" s="2" t="s">
        <v>4870</v>
      </c>
      <c r="J1987" s="3" t="str">
        <f>HYPERLINK("https://www.boe.es/gazeta/dias/1819/03/16/pdfs/GMD-1819-32.pdf#page=6","Abrir facsímil")</f>
        <v>Abrir facsímil</v>
      </c>
      <c r="K1987" s="3" t="s">
        <v>23</v>
      </c>
    </row>
    <row r="1988" spans="1:11" ht="42" customHeight="1">
      <c r="A1988" s="2" t="s">
        <v>4871</v>
      </c>
      <c r="B1988" s="2" t="s">
        <v>4871</v>
      </c>
      <c r="C1988" s="2" t="s">
        <v>215</v>
      </c>
      <c r="D1988" s="2" t="s">
        <v>18</v>
      </c>
      <c r="E1988" s="5">
        <v>-29304</v>
      </c>
      <c r="F1988" s="3" t="s">
        <v>519</v>
      </c>
      <c r="G1988" s="3" t="s">
        <v>28</v>
      </c>
      <c r="H1988" s="2" t="s">
        <v>65</v>
      </c>
      <c r="I1988" s="2" t="s">
        <v>4872</v>
      </c>
      <c r="J1988" s="3" t="str">
        <f>HYPERLINK("https://www.boe.es/gazeta/dias/1819/10/07/pdfs/GMD-1819-123.pdf#page=8","Abrir facsímil")</f>
        <v>Abrir facsímil</v>
      </c>
      <c r="K1988" s="3" t="s">
        <v>67</v>
      </c>
    </row>
    <row r="1989" spans="1:11" ht="42" customHeight="1">
      <c r="A1989" s="2" t="s">
        <v>4871</v>
      </c>
      <c r="B1989" s="2" t="s">
        <v>4871</v>
      </c>
      <c r="C1989" s="2" t="s">
        <v>136</v>
      </c>
      <c r="D1989" s="2" t="s">
        <v>18</v>
      </c>
      <c r="E1989" s="5">
        <v>-29290</v>
      </c>
      <c r="F1989" s="3" t="s">
        <v>622</v>
      </c>
      <c r="G1989" s="3" t="s">
        <v>28</v>
      </c>
      <c r="H1989" s="2" t="s">
        <v>65</v>
      </c>
      <c r="I1989" s="2" t="s">
        <v>4873</v>
      </c>
      <c r="J1989" s="3" t="str">
        <f>HYPERLINK("https://www.boe.es/gazeta/dias/1819/10/21/pdfs/GMD-1819-129.pdf#page=8","Abrir facsímil")</f>
        <v>Abrir facsímil</v>
      </c>
      <c r="K1989" s="3" t="s">
        <v>67</v>
      </c>
    </row>
    <row r="1990" spans="1:11" ht="42" customHeight="1">
      <c r="A1990" s="2" t="s">
        <v>4871</v>
      </c>
      <c r="B1990" s="2" t="s">
        <v>4871</v>
      </c>
      <c r="C1990" s="2" t="s">
        <v>17</v>
      </c>
      <c r="D1990" s="2" t="s">
        <v>18</v>
      </c>
      <c r="E1990" s="5">
        <v>-29281</v>
      </c>
      <c r="F1990" s="3" t="s">
        <v>19</v>
      </c>
      <c r="G1990" s="3" t="s">
        <v>20</v>
      </c>
      <c r="H1990" s="2" t="s">
        <v>65</v>
      </c>
      <c r="I1990" s="2" t="s">
        <v>4874</v>
      </c>
      <c r="J1990" s="3" t="str">
        <f>HYPERLINK("https://www.boe.es/gazeta/dias/1819/10/30/pdfs/GMD-1819-134.pdf#page=10","Abrir facsímil")</f>
        <v>Abrir facsímil</v>
      </c>
      <c r="K1990" s="3" t="s">
        <v>67</v>
      </c>
    </row>
    <row r="1991" spans="1:11" ht="42" customHeight="1">
      <c r="A1991" s="2" t="s">
        <v>4871</v>
      </c>
      <c r="B1991" s="2" t="s">
        <v>4871</v>
      </c>
      <c r="C1991" s="2" t="s">
        <v>17</v>
      </c>
      <c r="D1991" s="2" t="s">
        <v>18</v>
      </c>
      <c r="E1991" s="5">
        <v>-29260</v>
      </c>
      <c r="F1991" s="3" t="s">
        <v>93</v>
      </c>
      <c r="G1991" s="3" t="s">
        <v>33</v>
      </c>
      <c r="H1991" s="2" t="s">
        <v>65</v>
      </c>
      <c r="I1991" s="2" t="s">
        <v>4875</v>
      </c>
      <c r="J1991" s="3" t="str">
        <f>HYPERLINK("https://www.boe.es/gazeta/dias/1819/11/20/pdfs/GMD-1819-143.pdf#page=6","Abrir facsímil")</f>
        <v>Abrir facsímil</v>
      </c>
      <c r="K1991" s="3" t="s">
        <v>67</v>
      </c>
    </row>
    <row r="1992" spans="1:11" ht="42" customHeight="1">
      <c r="A1992" s="2" t="s">
        <v>4876</v>
      </c>
      <c r="B1992" s="2" t="s">
        <v>4876</v>
      </c>
      <c r="C1992" s="2" t="s">
        <v>59</v>
      </c>
      <c r="D1992" s="2" t="s">
        <v>18</v>
      </c>
      <c r="E1992" s="5">
        <v>-29302</v>
      </c>
      <c r="F1992" s="3" t="s">
        <v>4877</v>
      </c>
      <c r="G1992" s="3" t="s">
        <v>4878</v>
      </c>
      <c r="H1992" s="2" t="s">
        <v>65</v>
      </c>
      <c r="I1992" s="2" t="s">
        <v>4879</v>
      </c>
      <c r="J1992" s="3" t="str">
        <f>HYPERLINK("https://www.boe.es/gazeta/dias/1819/10/09/pdfs/GMD-1819-124.pdf#page=8","Abrir facsímil")</f>
        <v>Abrir facsímil</v>
      </c>
      <c r="K1992" s="3" t="s">
        <v>67</v>
      </c>
    </row>
    <row r="1993" spans="1:11" ht="42" customHeight="1">
      <c r="A1993" s="2" t="s">
        <v>4880</v>
      </c>
      <c r="B1993" s="2" t="s">
        <v>4880</v>
      </c>
      <c r="C1993" s="2" t="s">
        <v>26</v>
      </c>
      <c r="D1993" s="2" t="s">
        <v>18</v>
      </c>
      <c r="E1993" s="5">
        <v>-29274</v>
      </c>
      <c r="F1993" s="3" t="s">
        <v>247</v>
      </c>
      <c r="G1993" s="3" t="s">
        <v>259</v>
      </c>
      <c r="H1993" s="2" t="s">
        <v>65</v>
      </c>
      <c r="I1993" s="2" t="s">
        <v>4881</v>
      </c>
      <c r="J1993" s="3" t="str">
        <f>HYPERLINK("https://www.boe.es/gazeta/dias/1819/11/06/pdfs/GMD-1819-137.pdf#page=2","Abrir facsímil")</f>
        <v>Abrir facsímil</v>
      </c>
      <c r="K1993" s="3" t="s">
        <v>67</v>
      </c>
    </row>
    <row r="1994" spans="1:11" ht="42" customHeight="1">
      <c r="A1994" s="2" t="s">
        <v>4882</v>
      </c>
      <c r="B1994" s="2" t="s">
        <v>4883</v>
      </c>
      <c r="C1994" s="2" t="s">
        <v>63</v>
      </c>
      <c r="D1994" s="2" t="s">
        <v>43</v>
      </c>
      <c r="E1994" s="5">
        <v>-29274</v>
      </c>
      <c r="F1994" s="3" t="s">
        <v>247</v>
      </c>
      <c r="G1994" s="3" t="s">
        <v>259</v>
      </c>
      <c r="H1994" s="2" t="s">
        <v>65</v>
      </c>
      <c r="I1994" s="2" t="s">
        <v>4884</v>
      </c>
      <c r="J1994" s="3" t="str">
        <f>HYPERLINK("https://www.boe.es/gazeta/dias/1819/11/06/pdfs/GMD-1819-137.pdf#page=2","Abrir facsímil")</f>
        <v>Abrir facsímil</v>
      </c>
      <c r="K1994" s="3" t="s">
        <v>67</v>
      </c>
    </row>
    <row r="1995" spans="1:11" ht="42" customHeight="1">
      <c r="A1995" s="2" t="s">
        <v>4885</v>
      </c>
      <c r="B1995" s="2" t="s">
        <v>4885</v>
      </c>
      <c r="C1995" s="2" t="s">
        <v>80</v>
      </c>
      <c r="D1995" s="2" t="s">
        <v>81</v>
      </c>
      <c r="E1995" s="5">
        <v>-29579</v>
      </c>
      <c r="F1995" s="3" t="s">
        <v>186</v>
      </c>
      <c r="G1995" s="3" t="s">
        <v>259</v>
      </c>
      <c r="H1995" s="2" t="s">
        <v>65</v>
      </c>
      <c r="I1995" s="2" t="s">
        <v>4886</v>
      </c>
      <c r="J1995" s="3" t="str">
        <f>HYPERLINK("https://www.boe.es/gazeta/dias/1819/01/05/pdfs/GMD-1819-2.pdf#page=2","Abrir facsímil")</f>
        <v>Abrir facsímil</v>
      </c>
      <c r="K1995" s="3" t="s">
        <v>67</v>
      </c>
    </row>
    <row r="1996" spans="1:11" ht="42" customHeight="1">
      <c r="A1996" s="2" t="s">
        <v>4887</v>
      </c>
      <c r="B1996" s="2" t="s">
        <v>4887</v>
      </c>
      <c r="C1996" s="2" t="s">
        <v>80</v>
      </c>
      <c r="D1996" s="2" t="s">
        <v>81</v>
      </c>
      <c r="E1996" s="5">
        <v>-29267</v>
      </c>
      <c r="F1996" s="3" t="s">
        <v>370</v>
      </c>
      <c r="G1996" s="3" t="s">
        <v>456</v>
      </c>
      <c r="H1996" s="2" t="s">
        <v>65</v>
      </c>
      <c r="I1996" s="2" t="s">
        <v>4888</v>
      </c>
      <c r="J1996" s="3" t="str">
        <f>HYPERLINK("https://www.boe.es/gazeta/dias/1819/11/13/pdfs/GMD-1819-140.pdf#page=9","Abrir facsímil")</f>
        <v>Abrir facsímil</v>
      </c>
      <c r="K1996" s="3" t="s">
        <v>67</v>
      </c>
    </row>
    <row r="1997" spans="1:11" ht="42" customHeight="1">
      <c r="A1997" s="2" t="s">
        <v>4889</v>
      </c>
      <c r="B1997" s="2" t="s">
        <v>4889</v>
      </c>
      <c r="C1997" s="2" t="s">
        <v>63</v>
      </c>
      <c r="D1997" s="2" t="s">
        <v>43</v>
      </c>
      <c r="E1997" s="5">
        <v>-29507</v>
      </c>
      <c r="F1997" s="3" t="s">
        <v>1928</v>
      </c>
      <c r="G1997" s="3" t="s">
        <v>102</v>
      </c>
      <c r="H1997" s="2" t="s">
        <v>65</v>
      </c>
      <c r="I1997" s="2" t="s">
        <v>4890</v>
      </c>
      <c r="J1997" s="3" t="str">
        <f>HYPERLINK("https://www.boe.es/gazeta/dias/1819/03/18/pdfs/GMD-1819-33.pdf#page=3","Abrir facsímil")</f>
        <v>Abrir facsímil</v>
      </c>
      <c r="K1997" s="3" t="s">
        <v>67</v>
      </c>
    </row>
    <row r="1998" spans="1:11" ht="42" customHeight="1">
      <c r="A1998" s="2" t="s">
        <v>4891</v>
      </c>
      <c r="B1998" s="2" t="s">
        <v>4891</v>
      </c>
      <c r="C1998" s="2" t="s">
        <v>80</v>
      </c>
      <c r="D1998" s="2" t="s">
        <v>81</v>
      </c>
      <c r="E1998" s="5">
        <v>-29411</v>
      </c>
      <c r="F1998" s="3" t="s">
        <v>317</v>
      </c>
      <c r="G1998" s="3" t="s">
        <v>296</v>
      </c>
      <c r="H1998" s="2" t="s">
        <v>65</v>
      </c>
      <c r="I1998" s="2" t="s">
        <v>4892</v>
      </c>
      <c r="J1998" s="3" t="str">
        <f>HYPERLINK("https://www.boe.es/gazeta/dias/1819/06/22/pdfs/GMD-1819-75.pdf#page=4","Abrir facsímil")</f>
        <v>Abrir facsímil</v>
      </c>
      <c r="K1998" s="3" t="s">
        <v>67</v>
      </c>
    </row>
    <row r="1999" spans="1:11" ht="42" customHeight="1">
      <c r="A1999" s="2" t="s">
        <v>4893</v>
      </c>
      <c r="B1999" s="2" t="s">
        <v>4893</v>
      </c>
      <c r="C1999" s="2" t="s">
        <v>80</v>
      </c>
      <c r="D1999" s="2" t="s">
        <v>81</v>
      </c>
      <c r="E1999" s="5">
        <v>-29358</v>
      </c>
      <c r="F1999" s="3" t="s">
        <v>170</v>
      </c>
      <c r="G1999" s="3" t="s">
        <v>239</v>
      </c>
      <c r="H1999" s="2" t="s">
        <v>65</v>
      </c>
      <c r="I1999" s="2" t="s">
        <v>4894</v>
      </c>
      <c r="J1999" s="3" t="str">
        <f>HYPERLINK("https://www.boe.es/gazeta/dias/1819/08/14/pdfs/GMD-1819-98.pdf#page=1","Abrir facsímil")</f>
        <v>Abrir facsímil</v>
      </c>
      <c r="K1999" s="3" t="s">
        <v>67</v>
      </c>
    </row>
    <row r="2000" spans="1:11" ht="42" customHeight="1">
      <c r="A2000" s="2" t="s">
        <v>4895</v>
      </c>
      <c r="B2000" s="2" t="s">
        <v>4895</v>
      </c>
      <c r="C2000" s="2" t="s">
        <v>80</v>
      </c>
      <c r="D2000" s="2" t="s">
        <v>81</v>
      </c>
      <c r="E2000" s="5">
        <v>-29369</v>
      </c>
      <c r="F2000" s="3" t="s">
        <v>231</v>
      </c>
      <c r="G2000" s="3" t="s">
        <v>239</v>
      </c>
      <c r="H2000" s="2" t="s">
        <v>65</v>
      </c>
      <c r="I2000" s="2" t="s">
        <v>4896</v>
      </c>
      <c r="J2000" s="3" t="str">
        <f>HYPERLINK("https://www.boe.es/gazeta/dias/1819/08/03/pdfs/GMD-1819-93.pdf#page=1","Abrir facsímil")</f>
        <v>Abrir facsímil</v>
      </c>
      <c r="K2000" s="3" t="s">
        <v>67</v>
      </c>
    </row>
    <row r="2001" spans="1:11" ht="42" customHeight="1">
      <c r="A2001" s="2" t="s">
        <v>4897</v>
      </c>
      <c r="B2001" s="2" t="s">
        <v>4898</v>
      </c>
      <c r="C2001" s="2" t="s">
        <v>80</v>
      </c>
      <c r="D2001" s="2" t="s">
        <v>81</v>
      </c>
      <c r="E2001" s="5">
        <v>-29570</v>
      </c>
      <c r="F2001" s="3" t="s">
        <v>2008</v>
      </c>
      <c r="G2001" s="3" t="s">
        <v>259</v>
      </c>
      <c r="H2001" s="2" t="s">
        <v>65</v>
      </c>
      <c r="I2001" s="2" t="s">
        <v>4899</v>
      </c>
      <c r="J2001" s="3" t="str">
        <f>HYPERLINK("https://www.boe.es/gazeta/dias/1819/01/14/pdfs/GMD-1819-6.pdf#page=2","Abrir facsímil")</f>
        <v>Abrir facsímil</v>
      </c>
      <c r="K2001" s="3" t="s">
        <v>67</v>
      </c>
    </row>
    <row r="2002" spans="1:11" ht="42" customHeight="1">
      <c r="A2002" s="2" t="s">
        <v>4900</v>
      </c>
      <c r="B2002" s="2" t="s">
        <v>4900</v>
      </c>
      <c r="C2002" s="2" t="s">
        <v>80</v>
      </c>
      <c r="D2002" s="2" t="s">
        <v>81</v>
      </c>
      <c r="E2002" s="5">
        <v>-29334</v>
      </c>
      <c r="F2002" s="3" t="s">
        <v>3082</v>
      </c>
      <c r="G2002" s="3" t="s">
        <v>259</v>
      </c>
      <c r="H2002" s="2" t="s">
        <v>65</v>
      </c>
      <c r="I2002" s="2" t="s">
        <v>4901</v>
      </c>
      <c r="J2002" s="3" t="str">
        <f>HYPERLINK("https://www.boe.es/gazeta/dias/1819/09/07/pdfs/GMD-1819-109.pdf#page=2","Abrir facsímil")</f>
        <v>Abrir facsímil</v>
      </c>
      <c r="K2002" s="3" t="s">
        <v>67</v>
      </c>
    </row>
    <row r="2003" spans="1:11" ht="42" customHeight="1">
      <c r="A2003" s="2" t="s">
        <v>4902</v>
      </c>
      <c r="B2003" s="2" t="s">
        <v>4902</v>
      </c>
      <c r="C2003" s="2" t="s">
        <v>80</v>
      </c>
      <c r="D2003" s="2" t="s">
        <v>81</v>
      </c>
      <c r="E2003" s="5">
        <v>-29341</v>
      </c>
      <c r="F2003" s="3" t="s">
        <v>806</v>
      </c>
      <c r="G2003" s="3" t="s">
        <v>259</v>
      </c>
      <c r="H2003" s="2" t="s">
        <v>65</v>
      </c>
      <c r="I2003" s="2" t="s">
        <v>4903</v>
      </c>
      <c r="J2003" s="3" t="str">
        <f>HYPERLINK("https://www.boe.es/gazeta/dias/1819/08/31/pdfs/GMD-1819-105.pdf#page=2","Abrir facsímil")</f>
        <v>Abrir facsímil</v>
      </c>
      <c r="K2003" s="3" t="s">
        <v>67</v>
      </c>
    </row>
    <row r="2004" spans="1:11" ht="42" customHeight="1">
      <c r="A2004" s="2" t="s">
        <v>4904</v>
      </c>
      <c r="B2004" s="2" t="s">
        <v>4904</v>
      </c>
      <c r="C2004" s="2" t="s">
        <v>80</v>
      </c>
      <c r="D2004" s="2" t="s">
        <v>81</v>
      </c>
      <c r="E2004" s="5">
        <v>-29225</v>
      </c>
      <c r="F2004" s="3" t="s">
        <v>472</v>
      </c>
      <c r="G2004" s="3" t="s">
        <v>259</v>
      </c>
      <c r="H2004" s="2" t="s">
        <v>65</v>
      </c>
      <c r="I2004" s="2" t="s">
        <v>4905</v>
      </c>
      <c r="J2004" s="3" t="str">
        <f>HYPERLINK("https://www.boe.es/gazeta/dias/1819/12/25/pdfs/GMD-1819-158.pdf#page=2","Abrir facsímil")</f>
        <v>Abrir facsímil</v>
      </c>
      <c r="K2004" s="3" t="s">
        <v>67</v>
      </c>
    </row>
    <row r="2005" spans="1:11" ht="42" customHeight="1">
      <c r="A2005" s="2" t="s">
        <v>4906</v>
      </c>
      <c r="B2005" s="2" t="s">
        <v>4907</v>
      </c>
      <c r="C2005" s="2" t="s">
        <v>136</v>
      </c>
      <c r="D2005" s="2" t="s">
        <v>18</v>
      </c>
      <c r="E2005" s="5">
        <v>-29260</v>
      </c>
      <c r="F2005" s="3" t="s">
        <v>93</v>
      </c>
      <c r="G2005" s="3" t="s">
        <v>33</v>
      </c>
      <c r="H2005" s="2" t="s">
        <v>21</v>
      </c>
      <c r="I2005" s="2" t="s">
        <v>4908</v>
      </c>
      <c r="J2005" s="3" t="str">
        <f>HYPERLINK("https://www.boe.es/gazeta/dias/1819/11/20/pdfs/GMD-1819-143.pdf#page=6","Abrir facsímil")</f>
        <v>Abrir facsímil</v>
      </c>
      <c r="K2005" s="3" t="s">
        <v>23</v>
      </c>
    </row>
    <row r="2006" spans="1:11" ht="42" customHeight="1">
      <c r="A2006" s="2" t="s">
        <v>4909</v>
      </c>
      <c r="B2006" s="2" t="s">
        <v>4910</v>
      </c>
      <c r="C2006" s="2" t="s">
        <v>26</v>
      </c>
      <c r="D2006" s="2" t="s">
        <v>18</v>
      </c>
      <c r="E2006" s="5">
        <v>-29260</v>
      </c>
      <c r="F2006" s="3" t="s">
        <v>93</v>
      </c>
      <c r="G2006" s="3" t="s">
        <v>33</v>
      </c>
      <c r="H2006" s="2" t="s">
        <v>21</v>
      </c>
      <c r="I2006" s="2" t="s">
        <v>4911</v>
      </c>
      <c r="J2006" s="3" t="str">
        <f>HYPERLINK("https://www.boe.es/gazeta/dias/1819/11/20/pdfs/GMD-1819-143.pdf#page=6","Abrir facsímil")</f>
        <v>Abrir facsímil</v>
      </c>
      <c r="K2006" s="3" t="s">
        <v>23</v>
      </c>
    </row>
    <row r="2007" spans="1:11" ht="42" customHeight="1">
      <c r="A2007" s="2" t="s">
        <v>4912</v>
      </c>
      <c r="B2007" s="2" t="s">
        <v>4913</v>
      </c>
      <c r="C2007" s="2" t="s">
        <v>17</v>
      </c>
      <c r="D2007" s="2" t="s">
        <v>18</v>
      </c>
      <c r="E2007" s="5">
        <v>-29229</v>
      </c>
      <c r="F2007" s="3" t="s">
        <v>44</v>
      </c>
      <c r="G2007" s="3" t="s">
        <v>296</v>
      </c>
      <c r="H2007" s="2" t="s">
        <v>21</v>
      </c>
      <c r="I2007" s="2" t="s">
        <v>4914</v>
      </c>
      <c r="J2007" s="3" t="str">
        <f>HYPERLINK("https://www.boe.es/gazeta/dias/1819/12/21/pdfs/GMD-1819-156.pdf#page=4","Abrir facsímil")</f>
        <v>Abrir facsímil</v>
      </c>
      <c r="K2007" s="3" t="s">
        <v>23</v>
      </c>
    </row>
    <row r="2008" spans="1:11" ht="42" customHeight="1">
      <c r="A2008" s="2" t="s">
        <v>4915</v>
      </c>
      <c r="B2008" s="2" t="s">
        <v>4916</v>
      </c>
      <c r="C2008" s="2" t="s">
        <v>17</v>
      </c>
      <c r="D2008" s="2" t="s">
        <v>18</v>
      </c>
      <c r="E2008" s="5">
        <v>-29260</v>
      </c>
      <c r="F2008" s="3" t="s">
        <v>93</v>
      </c>
      <c r="G2008" s="3" t="s">
        <v>33</v>
      </c>
      <c r="H2008" s="2" t="s">
        <v>21</v>
      </c>
      <c r="I2008" s="2" t="s">
        <v>4917</v>
      </c>
      <c r="J2008" s="3" t="str">
        <f>HYPERLINK("https://www.boe.es/gazeta/dias/1819/11/20/pdfs/GMD-1819-143.pdf#page=6","Abrir facsímil")</f>
        <v>Abrir facsímil</v>
      </c>
      <c r="K2008" s="3" t="s">
        <v>23</v>
      </c>
    </row>
    <row r="2009" spans="1:11" ht="42" customHeight="1">
      <c r="A2009" s="2" t="s">
        <v>4918</v>
      </c>
      <c r="B2009" s="2" t="s">
        <v>4919</v>
      </c>
      <c r="C2009" s="2" t="s">
        <v>63</v>
      </c>
      <c r="D2009" s="2" t="s">
        <v>43</v>
      </c>
      <c r="E2009" s="5">
        <v>-29264</v>
      </c>
      <c r="F2009" s="3" t="s">
        <v>37</v>
      </c>
      <c r="G2009" s="3" t="s">
        <v>38</v>
      </c>
      <c r="H2009" s="2" t="s">
        <v>21</v>
      </c>
      <c r="I2009" s="2" t="s">
        <v>4920</v>
      </c>
      <c r="J2009" s="3" t="str">
        <f>HYPERLINK("https://www.boe.es/gazeta/dias/1819/11/16/pdfs/GMD-1819-141.pdf#page=5","Abrir facsímil")</f>
        <v>Abrir facsímil</v>
      </c>
      <c r="K2009" s="3" t="s">
        <v>23</v>
      </c>
    </row>
    <row r="2010" spans="1:11" ht="42" customHeight="1">
      <c r="A2010" s="2" t="s">
        <v>4918</v>
      </c>
      <c r="B2010" s="2" t="s">
        <v>4919</v>
      </c>
      <c r="C2010" s="2" t="s">
        <v>17</v>
      </c>
      <c r="D2010" s="2" t="s">
        <v>18</v>
      </c>
      <c r="E2010" s="5">
        <v>-29222</v>
      </c>
      <c r="F2010" s="3" t="s">
        <v>338</v>
      </c>
      <c r="G2010" s="3" t="s">
        <v>38</v>
      </c>
      <c r="H2010" s="2" t="s">
        <v>21</v>
      </c>
      <c r="I2010" s="2" t="s">
        <v>4921</v>
      </c>
      <c r="J2010" s="3" t="str">
        <f>HYPERLINK("https://www.boe.es/gazeta/dias/1819/12/28/pdfs/GMD-1819-159.pdf#page=5","Abrir facsímil")</f>
        <v>Abrir facsímil</v>
      </c>
      <c r="K2010" s="3" t="s">
        <v>23</v>
      </c>
    </row>
    <row r="2011" spans="1:11" ht="42" customHeight="1">
      <c r="A2011" s="2" t="s">
        <v>4922</v>
      </c>
      <c r="B2011" s="2" t="s">
        <v>4923</v>
      </c>
      <c r="C2011" s="2" t="s">
        <v>63</v>
      </c>
      <c r="D2011" s="2" t="s">
        <v>43</v>
      </c>
      <c r="E2011" s="5">
        <v>-29264</v>
      </c>
      <c r="F2011" s="3" t="s">
        <v>37</v>
      </c>
      <c r="G2011" s="3" t="s">
        <v>38</v>
      </c>
      <c r="H2011" s="2" t="s">
        <v>21</v>
      </c>
      <c r="I2011" s="2" t="s">
        <v>4924</v>
      </c>
      <c r="J2011" s="3" t="str">
        <f>HYPERLINK("https://www.boe.es/gazeta/dias/1819/11/16/pdfs/GMD-1819-141.pdf#page=5","Abrir facsímil")</f>
        <v>Abrir facsímil</v>
      </c>
      <c r="K2011" s="3" t="s">
        <v>23</v>
      </c>
    </row>
    <row r="2012" spans="1:11" ht="42" customHeight="1">
      <c r="A2012" s="2" t="s">
        <v>4922</v>
      </c>
      <c r="B2012" s="2" t="s">
        <v>4923</v>
      </c>
      <c r="C2012" s="2" t="s">
        <v>17</v>
      </c>
      <c r="D2012" s="2" t="s">
        <v>18</v>
      </c>
      <c r="E2012" s="5">
        <v>-29260</v>
      </c>
      <c r="F2012" s="3" t="s">
        <v>93</v>
      </c>
      <c r="G2012" s="3" t="s">
        <v>33</v>
      </c>
      <c r="H2012" s="2" t="s">
        <v>21</v>
      </c>
      <c r="I2012" s="2" t="s">
        <v>4925</v>
      </c>
      <c r="J2012" s="3" t="str">
        <f>HYPERLINK("https://www.boe.es/gazeta/dias/1819/11/20/pdfs/GMD-1819-143.pdf#page=6","Abrir facsímil")</f>
        <v>Abrir facsímil</v>
      </c>
      <c r="K2012" s="3" t="s">
        <v>23</v>
      </c>
    </row>
    <row r="2013" spans="1:11" ht="42" customHeight="1">
      <c r="A2013" s="2" t="s">
        <v>4926</v>
      </c>
      <c r="B2013" s="2" t="s">
        <v>4927</v>
      </c>
      <c r="C2013" s="2" t="s">
        <v>17</v>
      </c>
      <c r="D2013" s="2" t="s">
        <v>18</v>
      </c>
      <c r="E2013" s="5">
        <v>-29264</v>
      </c>
      <c r="F2013" s="3" t="s">
        <v>37</v>
      </c>
      <c r="G2013" s="3" t="s">
        <v>38</v>
      </c>
      <c r="H2013" s="2" t="s">
        <v>21</v>
      </c>
      <c r="I2013" s="2" t="s">
        <v>4928</v>
      </c>
      <c r="J2013" s="3" t="str">
        <f>HYPERLINK("https://www.boe.es/gazeta/dias/1819/11/16/pdfs/GMD-1819-141.pdf#page=5","Abrir facsímil")</f>
        <v>Abrir facsímil</v>
      </c>
      <c r="K2013" s="3" t="s">
        <v>23</v>
      </c>
    </row>
    <row r="2014" spans="1:11" ht="42" customHeight="1">
      <c r="A2014" s="2" t="s">
        <v>4929</v>
      </c>
      <c r="B2014" s="2" t="s">
        <v>4930</v>
      </c>
      <c r="C2014" s="2" t="s">
        <v>17</v>
      </c>
      <c r="D2014" s="2" t="s">
        <v>18</v>
      </c>
      <c r="E2014" s="5">
        <v>-29271</v>
      </c>
      <c r="F2014" s="3" t="s">
        <v>32</v>
      </c>
      <c r="G2014" s="3" t="s">
        <v>33</v>
      </c>
      <c r="H2014" s="2" t="s">
        <v>21</v>
      </c>
      <c r="I2014" s="2" t="s">
        <v>4931</v>
      </c>
      <c r="J2014" s="3" t="str">
        <f>HYPERLINK("https://www.boe.es/gazeta/dias/1819/11/09/pdfs/GMD-1819-138.pdf#page=6","Abrir facsímil")</f>
        <v>Abrir facsímil</v>
      </c>
      <c r="K2014" s="3" t="s">
        <v>23</v>
      </c>
    </row>
    <row r="2015" spans="1:11" ht="42" customHeight="1">
      <c r="A2015" s="2" t="s">
        <v>4932</v>
      </c>
      <c r="B2015" s="2" t="s">
        <v>4933</v>
      </c>
      <c r="C2015" s="2" t="s">
        <v>80</v>
      </c>
      <c r="D2015" s="2" t="s">
        <v>81</v>
      </c>
      <c r="E2015" s="5">
        <v>-29337</v>
      </c>
      <c r="F2015" s="3" t="s">
        <v>1098</v>
      </c>
      <c r="G2015" s="3" t="s">
        <v>28</v>
      </c>
      <c r="H2015" s="2" t="s">
        <v>65</v>
      </c>
      <c r="I2015" s="2" t="s">
        <v>4934</v>
      </c>
      <c r="J2015" s="3" t="str">
        <f>HYPERLINK("https://www.boe.es/gazeta/dias/1819/09/04/pdfs/GMD-1819-108.pdf#page=8","Abrir facsímil")</f>
        <v>Abrir facsímil</v>
      </c>
      <c r="K2015" s="3" t="s">
        <v>67</v>
      </c>
    </row>
    <row r="2016" spans="1:11" ht="42" customHeight="1">
      <c r="A2016" s="2" t="s">
        <v>4935</v>
      </c>
      <c r="B2016" s="2" t="s">
        <v>4935</v>
      </c>
      <c r="C2016" s="2" t="s">
        <v>59</v>
      </c>
      <c r="D2016" s="2" t="s">
        <v>18</v>
      </c>
      <c r="E2016" s="5">
        <v>-29453</v>
      </c>
      <c r="F2016" s="3" t="s">
        <v>768</v>
      </c>
      <c r="G2016" s="3" t="s">
        <v>4936</v>
      </c>
      <c r="H2016" s="2" t="s">
        <v>65</v>
      </c>
      <c r="I2016" s="2" t="s">
        <v>4937</v>
      </c>
      <c r="J2016" s="3" t="str">
        <f>HYPERLINK("https://www.boe.es/gazeta/dias/1819/05/11/pdfs/GMD-1819-56.pdf#page=3","Abrir facsímil")</f>
        <v>Abrir facsímil</v>
      </c>
      <c r="K2016" s="3" t="s">
        <v>67</v>
      </c>
    </row>
    <row r="2017" spans="1:11" ht="42" customHeight="1">
      <c r="A2017" s="2" t="s">
        <v>4938</v>
      </c>
      <c r="B2017" s="2" t="s">
        <v>4939</v>
      </c>
      <c r="C2017" s="2" t="s">
        <v>63</v>
      </c>
      <c r="D2017" s="2" t="s">
        <v>43</v>
      </c>
      <c r="E2017" s="5">
        <v>-29316</v>
      </c>
      <c r="F2017" s="3" t="s">
        <v>166</v>
      </c>
      <c r="G2017" s="3" t="s">
        <v>55</v>
      </c>
      <c r="H2017" s="2" t="s">
        <v>65</v>
      </c>
      <c r="I2017" s="2" t="s">
        <v>4940</v>
      </c>
      <c r="J2017" s="3" t="str">
        <f>HYPERLINK("https://www.boe.es/gazeta/dias/1819/09/25/pdfs/GMD-1819-118.pdf#page=7","Abrir facsímil")</f>
        <v>Abrir facsímil</v>
      </c>
      <c r="K2017" s="3" t="s">
        <v>67</v>
      </c>
    </row>
    <row r="2018" spans="1:11" ht="42" customHeight="1">
      <c r="A2018" s="2" t="s">
        <v>4941</v>
      </c>
      <c r="B2018" s="2" t="s">
        <v>4942</v>
      </c>
      <c r="C2018" s="2" t="s">
        <v>59</v>
      </c>
      <c r="D2018" s="2" t="s">
        <v>18</v>
      </c>
      <c r="E2018" s="5">
        <v>-29444</v>
      </c>
      <c r="F2018" s="3" t="s">
        <v>258</v>
      </c>
      <c r="G2018" s="3" t="s">
        <v>239</v>
      </c>
      <c r="H2018" s="2" t="s">
        <v>65</v>
      </c>
      <c r="I2018" s="2" t="s">
        <v>4943</v>
      </c>
      <c r="J2018" s="3" t="str">
        <f>HYPERLINK("https://www.boe.es/gazeta/dias/1819/05/20/pdfs/GMD-1819-60.pdf#page=1","Abrir facsímil")</f>
        <v>Abrir facsímil</v>
      </c>
      <c r="K2018" s="3" t="s">
        <v>67</v>
      </c>
    </row>
    <row r="2019" spans="1:11" ht="42" customHeight="1">
      <c r="A2019" s="2" t="s">
        <v>4944</v>
      </c>
      <c r="B2019" s="2" t="s">
        <v>4944</v>
      </c>
      <c r="C2019" s="2" t="s">
        <v>80</v>
      </c>
      <c r="D2019" s="2" t="s">
        <v>81</v>
      </c>
      <c r="E2019" s="5">
        <v>-29502</v>
      </c>
      <c r="F2019" s="3" t="s">
        <v>86</v>
      </c>
      <c r="G2019" s="3" t="s">
        <v>2658</v>
      </c>
      <c r="H2019" s="2" t="s">
        <v>65</v>
      </c>
      <c r="I2019" s="2" t="s">
        <v>4945</v>
      </c>
      <c r="J2019" s="3" t="str">
        <f>HYPERLINK("https://www.boe.es/gazeta/dias/1819/03/23/pdfs/GMD-1819-35.pdf#page=4","Abrir facsímil")</f>
        <v>Abrir facsímil</v>
      </c>
      <c r="K2019" s="3" t="s">
        <v>67</v>
      </c>
    </row>
    <row r="2020" spans="1:11" ht="42" customHeight="1">
      <c r="A2020" s="2" t="s">
        <v>4946</v>
      </c>
      <c r="B2020" s="2" t="s">
        <v>4947</v>
      </c>
      <c r="C2020" s="2" t="s">
        <v>59</v>
      </c>
      <c r="D2020" s="2" t="s">
        <v>18</v>
      </c>
      <c r="E2020" s="5">
        <v>-29267</v>
      </c>
      <c r="F2020" s="3" t="s">
        <v>370</v>
      </c>
      <c r="G2020" s="3" t="s">
        <v>33</v>
      </c>
      <c r="H2020" s="2" t="s">
        <v>65</v>
      </c>
      <c r="I2020" s="2" t="s">
        <v>4948</v>
      </c>
      <c r="J2020" s="3" t="str">
        <f>HYPERLINK("https://www.boe.es/gazeta/dias/1819/11/13/pdfs/GMD-1819-140.pdf#page=6","Abrir facsímil")</f>
        <v>Abrir facsímil</v>
      </c>
      <c r="K2020" s="3" t="s">
        <v>67</v>
      </c>
    </row>
    <row r="2021" spans="1:11" ht="42" customHeight="1">
      <c r="A2021" s="2" t="s">
        <v>4949</v>
      </c>
      <c r="B2021" s="2" t="s">
        <v>4950</v>
      </c>
      <c r="C2021" s="2" t="s">
        <v>246</v>
      </c>
      <c r="D2021" s="2" t="s">
        <v>18</v>
      </c>
      <c r="E2021" s="5">
        <v>-29267</v>
      </c>
      <c r="F2021" s="3" t="s">
        <v>370</v>
      </c>
      <c r="G2021" s="3" t="s">
        <v>33</v>
      </c>
      <c r="H2021" s="2" t="s">
        <v>65</v>
      </c>
      <c r="I2021" s="2" t="s">
        <v>4951</v>
      </c>
      <c r="J2021" s="3" t="str">
        <f>HYPERLINK("https://www.boe.es/gazeta/dias/1819/11/13/pdfs/GMD-1819-140.pdf#page=6","Abrir facsímil")</f>
        <v>Abrir facsímil</v>
      </c>
      <c r="K2021" s="3" t="s">
        <v>67</v>
      </c>
    </row>
    <row r="2022" spans="1:11" ht="42" customHeight="1">
      <c r="A2022" s="2" t="s">
        <v>4952</v>
      </c>
      <c r="B2022" s="2" t="s">
        <v>4952</v>
      </c>
      <c r="C2022" s="2" t="s">
        <v>80</v>
      </c>
      <c r="D2022" s="2" t="s">
        <v>81</v>
      </c>
      <c r="E2022" s="5">
        <v>-29479</v>
      </c>
      <c r="F2022" s="3" t="s">
        <v>979</v>
      </c>
      <c r="G2022" s="3" t="s">
        <v>28</v>
      </c>
      <c r="H2022" s="2" t="s">
        <v>65</v>
      </c>
      <c r="I2022" s="2" t="s">
        <v>4953</v>
      </c>
      <c r="J2022" s="3" t="str">
        <f>HYPERLINK("https://www.boe.es/gazeta/dias/1819/04/15/pdfs/GMD-1819-45.pdf#page=8","Abrir facsímil")</f>
        <v>Abrir facsímil</v>
      </c>
      <c r="K2022" s="3" t="s">
        <v>67</v>
      </c>
    </row>
    <row r="2023" spans="1:11" ht="42" customHeight="1">
      <c r="A2023" s="2" t="s">
        <v>4954</v>
      </c>
      <c r="B2023" s="2" t="s">
        <v>4954</v>
      </c>
      <c r="C2023" s="2" t="s">
        <v>80</v>
      </c>
      <c r="D2023" s="2" t="s">
        <v>81</v>
      </c>
      <c r="E2023" s="5">
        <v>-29502</v>
      </c>
      <c r="F2023" s="3" t="s">
        <v>86</v>
      </c>
      <c r="G2023" s="3" t="s">
        <v>2658</v>
      </c>
      <c r="H2023" s="2" t="s">
        <v>65</v>
      </c>
      <c r="I2023" s="2" t="s">
        <v>4955</v>
      </c>
      <c r="J2023" s="3" t="str">
        <f>HYPERLINK("https://www.boe.es/gazeta/dias/1819/03/23/pdfs/GMD-1819-35.pdf#page=4","Abrir facsímil")</f>
        <v>Abrir facsímil</v>
      </c>
      <c r="K2023" s="3" t="s">
        <v>67</v>
      </c>
    </row>
    <row r="2024" spans="1:11" ht="42" customHeight="1">
      <c r="A2024" s="2" t="s">
        <v>4956</v>
      </c>
      <c r="B2024" s="2" t="s">
        <v>4957</v>
      </c>
      <c r="C2024" s="2" t="s">
        <v>26</v>
      </c>
      <c r="D2024" s="2" t="s">
        <v>18</v>
      </c>
      <c r="E2024" s="5">
        <v>-29320</v>
      </c>
      <c r="F2024" s="3" t="s">
        <v>690</v>
      </c>
      <c r="G2024" s="3" t="s">
        <v>28</v>
      </c>
      <c r="H2024" s="2" t="s">
        <v>21</v>
      </c>
      <c r="I2024" s="2" t="s">
        <v>4958</v>
      </c>
      <c r="J2024" s="3" t="str">
        <f>HYPERLINK("https://www.boe.es/gazeta/dias/1819/09/21/pdfs/GMD-1819-116.pdf#page=8","Abrir facsímil")</f>
        <v>Abrir facsímil</v>
      </c>
      <c r="K2024" s="3" t="s">
        <v>23</v>
      </c>
    </row>
    <row r="2025" spans="1:11" ht="42" customHeight="1">
      <c r="A2025" s="2" t="s">
        <v>4959</v>
      </c>
      <c r="B2025" s="2" t="s">
        <v>4960</v>
      </c>
      <c r="C2025" s="2" t="s">
        <v>63</v>
      </c>
      <c r="D2025" s="2" t="s">
        <v>43</v>
      </c>
      <c r="E2025" s="5">
        <v>-29435</v>
      </c>
      <c r="F2025" s="3" t="s">
        <v>191</v>
      </c>
      <c r="G2025" s="3" t="s">
        <v>55</v>
      </c>
      <c r="H2025" s="2" t="s">
        <v>65</v>
      </c>
      <c r="I2025" s="2" t="s">
        <v>4961</v>
      </c>
      <c r="J2025" s="3" t="str">
        <f>HYPERLINK("https://www.boe.es/gazeta/dias/1819/05/29/pdfs/GMD-1819-64.pdf#page=7","Abrir facsímil")</f>
        <v>Abrir facsímil</v>
      </c>
      <c r="K2025" s="3" t="s">
        <v>67</v>
      </c>
    </row>
    <row r="2026" spans="1:11" ht="42" customHeight="1">
      <c r="A2026" s="2" t="s">
        <v>4962</v>
      </c>
      <c r="B2026" s="2" t="s">
        <v>4963</v>
      </c>
      <c r="C2026" s="2" t="s">
        <v>63</v>
      </c>
      <c r="D2026" s="2" t="s">
        <v>43</v>
      </c>
      <c r="E2026" s="5">
        <v>-29316</v>
      </c>
      <c r="F2026" s="3" t="s">
        <v>166</v>
      </c>
      <c r="G2026" s="3" t="s">
        <v>55</v>
      </c>
      <c r="H2026" s="2" t="s">
        <v>65</v>
      </c>
      <c r="I2026" s="2" t="s">
        <v>4964</v>
      </c>
      <c r="J2026" s="3" t="str">
        <f>HYPERLINK("https://www.boe.es/gazeta/dias/1819/09/25/pdfs/GMD-1819-118.pdf#page=7","Abrir facsímil")</f>
        <v>Abrir facsímil</v>
      </c>
      <c r="K2026" s="3" t="s">
        <v>67</v>
      </c>
    </row>
    <row r="2027" spans="1:11" ht="42" customHeight="1">
      <c r="A2027" s="2" t="s">
        <v>4965</v>
      </c>
      <c r="B2027" s="2" t="s">
        <v>4966</v>
      </c>
      <c r="C2027" s="2" t="s">
        <v>63</v>
      </c>
      <c r="D2027" s="2" t="s">
        <v>43</v>
      </c>
      <c r="E2027" s="5">
        <v>-29288</v>
      </c>
      <c r="F2027" s="3" t="s">
        <v>334</v>
      </c>
      <c r="G2027" s="3" t="s">
        <v>28</v>
      </c>
      <c r="H2027" s="2" t="s">
        <v>65</v>
      </c>
      <c r="I2027" s="2" t="s">
        <v>4967</v>
      </c>
      <c r="J2027" s="3" t="str">
        <f>HYPERLINK("https://www.boe.es/gazeta/dias/1819/10/23/pdfs/GMD-1819-130.pdf#page=8","Abrir facsímil")</f>
        <v>Abrir facsímil</v>
      </c>
      <c r="K2027" s="3" t="s">
        <v>67</v>
      </c>
    </row>
    <row r="2028" spans="1:11" ht="42" customHeight="1">
      <c r="A2028" s="2" t="s">
        <v>4968</v>
      </c>
      <c r="B2028" s="2" t="s">
        <v>4969</v>
      </c>
      <c r="C2028" s="2" t="s">
        <v>63</v>
      </c>
      <c r="D2028" s="2" t="s">
        <v>43</v>
      </c>
      <c r="E2028" s="5">
        <v>-29360</v>
      </c>
      <c r="F2028" s="3" t="s">
        <v>182</v>
      </c>
      <c r="G2028" s="3" t="s">
        <v>28</v>
      </c>
      <c r="H2028" s="2" t="s">
        <v>65</v>
      </c>
      <c r="I2028" s="2" t="s">
        <v>4970</v>
      </c>
      <c r="J2028" s="3" t="str">
        <f>HYPERLINK("https://www.boe.es/gazeta/dias/1819/08/12/pdfs/GMD-1819-97.pdf#page=8","Abrir facsímil")</f>
        <v>Abrir facsímil</v>
      </c>
      <c r="K2028" s="3" t="s">
        <v>67</v>
      </c>
    </row>
    <row r="2029" spans="1:11" ht="42" customHeight="1">
      <c r="A2029" s="2" t="s">
        <v>4971</v>
      </c>
      <c r="B2029" s="2" t="s">
        <v>4972</v>
      </c>
      <c r="C2029" s="2" t="s">
        <v>80</v>
      </c>
      <c r="D2029" s="2" t="s">
        <v>81</v>
      </c>
      <c r="E2029" s="5">
        <v>-29316</v>
      </c>
      <c r="F2029" s="3" t="s">
        <v>166</v>
      </c>
      <c r="G2029" s="3" t="s">
        <v>94</v>
      </c>
      <c r="H2029" s="2" t="s">
        <v>65</v>
      </c>
      <c r="I2029" s="2" t="s">
        <v>4973</v>
      </c>
      <c r="J2029" s="3" t="str">
        <f>HYPERLINK("https://www.boe.es/gazeta/dias/1819/09/25/pdfs/GMD-1819-118.pdf#page=11","Abrir facsímil")</f>
        <v>Abrir facsímil</v>
      </c>
      <c r="K2029" s="3" t="s">
        <v>67</v>
      </c>
    </row>
    <row r="2030" spans="1:11" ht="42" customHeight="1">
      <c r="A2030" s="2" t="s">
        <v>4974</v>
      </c>
      <c r="B2030" s="2" t="s">
        <v>4975</v>
      </c>
      <c r="C2030" s="2" t="s">
        <v>136</v>
      </c>
      <c r="D2030" s="2" t="s">
        <v>18</v>
      </c>
      <c r="E2030" s="5">
        <v>-29521</v>
      </c>
      <c r="F2030" s="3" t="s">
        <v>1002</v>
      </c>
      <c r="G2030" s="3" t="s">
        <v>55</v>
      </c>
      <c r="H2030" s="2" t="s">
        <v>65</v>
      </c>
      <c r="I2030" s="2" t="s">
        <v>4976</v>
      </c>
      <c r="J2030" s="3" t="str">
        <f>HYPERLINK("https://www.boe.es/gazeta/dias/1819/03/04/pdfs/GMD-1819-27.pdf#page=7","Abrir facsímil")</f>
        <v>Abrir facsímil</v>
      </c>
      <c r="K2030" s="3" t="s">
        <v>67</v>
      </c>
    </row>
    <row r="2031" spans="1:11" ht="42" customHeight="1">
      <c r="A2031" s="2" t="s">
        <v>4977</v>
      </c>
      <c r="B2031" s="2" t="s">
        <v>4978</v>
      </c>
      <c r="C2031" s="2" t="s">
        <v>26</v>
      </c>
      <c r="D2031" s="2" t="s">
        <v>18</v>
      </c>
      <c r="E2031" s="5">
        <v>-29355</v>
      </c>
      <c r="F2031" s="3" t="s">
        <v>347</v>
      </c>
      <c r="G2031" s="3" t="s">
        <v>348</v>
      </c>
      <c r="H2031" s="2" t="s">
        <v>65</v>
      </c>
      <c r="I2031" s="2" t="s">
        <v>4979</v>
      </c>
      <c r="J2031" s="3" t="str">
        <f>HYPERLINK("https://www.boe.es/gazeta/dias/1819/08/17/pdfs/GMD-1819-99.pdf#page=6","Abrir facsímil")</f>
        <v>Abrir facsímil</v>
      </c>
      <c r="K2031" s="3" t="s">
        <v>67</v>
      </c>
    </row>
    <row r="2032" spans="1:11" ht="42" customHeight="1">
      <c r="A2032" s="2" t="s">
        <v>4980</v>
      </c>
      <c r="B2032" s="2" t="s">
        <v>4981</v>
      </c>
      <c r="C2032" s="2" t="s">
        <v>63</v>
      </c>
      <c r="D2032" s="2" t="s">
        <v>43</v>
      </c>
      <c r="E2032" s="5">
        <v>-29325</v>
      </c>
      <c r="F2032" s="3" t="s">
        <v>174</v>
      </c>
      <c r="G2032" s="3" t="s">
        <v>33</v>
      </c>
      <c r="H2032" s="2" t="s">
        <v>65</v>
      </c>
      <c r="I2032" s="2" t="s">
        <v>4982</v>
      </c>
      <c r="J2032" s="3" t="str">
        <f>HYPERLINK("https://www.boe.es/gazeta/dias/1819/09/16/pdfs/GMD-1819-113.pdf#page=6","Abrir facsímil")</f>
        <v>Abrir facsímil</v>
      </c>
      <c r="K2032" s="3" t="s">
        <v>67</v>
      </c>
    </row>
    <row r="2033" spans="1:11" ht="42" customHeight="1">
      <c r="A2033" s="2" t="s">
        <v>4983</v>
      </c>
      <c r="B2033" s="2" t="s">
        <v>4984</v>
      </c>
      <c r="C2033" s="2" t="s">
        <v>59</v>
      </c>
      <c r="D2033" s="2" t="s">
        <v>18</v>
      </c>
      <c r="E2033" s="5">
        <v>-29367</v>
      </c>
      <c r="F2033" s="3" t="s">
        <v>571</v>
      </c>
      <c r="G2033" s="3" t="s">
        <v>28</v>
      </c>
      <c r="H2033" s="2" t="s">
        <v>65</v>
      </c>
      <c r="I2033" s="2" t="s">
        <v>4985</v>
      </c>
      <c r="J2033" s="3" t="str">
        <f>HYPERLINK("https://www.boe.es/gazeta/dias/1819/08/05/pdfs/GMD-1819-94.pdf#page=8","Abrir facsímil")</f>
        <v>Abrir facsímil</v>
      </c>
      <c r="K2033" s="3" t="s">
        <v>67</v>
      </c>
    </row>
    <row r="2034" spans="1:11" ht="42" customHeight="1">
      <c r="A2034" s="2" t="s">
        <v>4986</v>
      </c>
      <c r="B2034" s="2" t="s">
        <v>4986</v>
      </c>
      <c r="C2034" s="2" t="s">
        <v>80</v>
      </c>
      <c r="D2034" s="2" t="s">
        <v>81</v>
      </c>
      <c r="E2034" s="5">
        <v>-29579</v>
      </c>
      <c r="F2034" s="3" t="s">
        <v>186</v>
      </c>
      <c r="G2034" s="3" t="s">
        <v>259</v>
      </c>
      <c r="H2034" s="2" t="s">
        <v>65</v>
      </c>
      <c r="I2034" s="2" t="s">
        <v>4987</v>
      </c>
      <c r="J2034" s="3" t="str">
        <f>HYPERLINK("https://www.boe.es/gazeta/dias/1819/01/05/pdfs/GMD-1819-2.pdf#page=2","Abrir facsímil")</f>
        <v>Abrir facsímil</v>
      </c>
      <c r="K2034" s="3" t="s">
        <v>67</v>
      </c>
    </row>
    <row r="2035" spans="1:11" ht="42" customHeight="1">
      <c r="A2035" s="2" t="s">
        <v>4986</v>
      </c>
      <c r="B2035" s="2" t="s">
        <v>4986</v>
      </c>
      <c r="C2035" s="2" t="s">
        <v>80</v>
      </c>
      <c r="D2035" s="2" t="s">
        <v>81</v>
      </c>
      <c r="E2035" s="5">
        <v>-29488</v>
      </c>
      <c r="F2035" s="3" t="s">
        <v>27</v>
      </c>
      <c r="G2035" s="3" t="s">
        <v>102</v>
      </c>
      <c r="H2035" s="2" t="s">
        <v>65</v>
      </c>
      <c r="I2035" s="2" t="s">
        <v>4988</v>
      </c>
      <c r="J2035" s="3" t="str">
        <f>HYPERLINK("https://www.boe.es/gazeta/dias/1819/04/06/pdfs/GMD-1819-41.pdf#page=3","Abrir facsímil")</f>
        <v>Abrir facsímil</v>
      </c>
      <c r="K2035" s="3" t="s">
        <v>67</v>
      </c>
    </row>
    <row r="2036" spans="1:11" ht="42" customHeight="1">
      <c r="A2036" s="2" t="s">
        <v>4989</v>
      </c>
      <c r="B2036" s="2" t="s">
        <v>4990</v>
      </c>
      <c r="C2036" s="2" t="s">
        <v>80</v>
      </c>
      <c r="D2036" s="2" t="s">
        <v>454</v>
      </c>
      <c r="E2036" s="5">
        <v>-29287</v>
      </c>
      <c r="F2036" s="3" t="s">
        <v>455</v>
      </c>
      <c r="G2036" s="3" t="s">
        <v>1113</v>
      </c>
      <c r="H2036" s="2" t="s">
        <v>65</v>
      </c>
      <c r="I2036" s="2" t="s">
        <v>4991</v>
      </c>
      <c r="J2036" s="3" t="str">
        <f>HYPERLINK("https://www.boe.es/gazeta/dias/1819/10/24/pdfs/GMD-1819-131E.pdf#page=7","Abrir facsímil")</f>
        <v>Abrir facsímil</v>
      </c>
      <c r="K2036" s="3" t="s">
        <v>67</v>
      </c>
    </row>
    <row r="2037" spans="1:11" ht="42" customHeight="1">
      <c r="A2037" s="2" t="s">
        <v>4992</v>
      </c>
      <c r="B2037" s="2" t="s">
        <v>4993</v>
      </c>
      <c r="C2037" s="2" t="s">
        <v>63</v>
      </c>
      <c r="D2037" s="2" t="s">
        <v>43</v>
      </c>
      <c r="E2037" s="5">
        <v>-29442</v>
      </c>
      <c r="F2037" s="3" t="s">
        <v>427</v>
      </c>
      <c r="G2037" s="3" t="s">
        <v>28</v>
      </c>
      <c r="H2037" s="2" t="s">
        <v>21</v>
      </c>
      <c r="I2037" s="2" t="s">
        <v>4994</v>
      </c>
      <c r="J2037" s="3" t="str">
        <f>HYPERLINK("https://www.boe.es/gazeta/dias/1819/05/22/pdfs/GMD-1819-61.pdf#page=8","Abrir facsímil")</f>
        <v>Abrir facsímil</v>
      </c>
      <c r="K2037" s="3" t="s">
        <v>23</v>
      </c>
    </row>
    <row r="2038" spans="1:11" ht="42" customHeight="1">
      <c r="A2038" s="2" t="s">
        <v>4995</v>
      </c>
      <c r="B2038" s="2" t="s">
        <v>4996</v>
      </c>
      <c r="C2038" s="2" t="s">
        <v>63</v>
      </c>
      <c r="D2038" s="2" t="s">
        <v>43</v>
      </c>
      <c r="E2038" s="5">
        <v>-29400</v>
      </c>
      <c r="F2038" s="3" t="s">
        <v>2181</v>
      </c>
      <c r="G2038" s="3" t="s">
        <v>38</v>
      </c>
      <c r="H2038" s="2" t="s">
        <v>65</v>
      </c>
      <c r="I2038" s="2" t="s">
        <v>4997</v>
      </c>
      <c r="J2038" s="3" t="str">
        <f>HYPERLINK("https://www.boe.es/gazeta/dias/1819/07/03/pdfs/GMD-1819-80.pdf#page=5","Abrir facsímil")</f>
        <v>Abrir facsímil</v>
      </c>
      <c r="K2038" s="3" t="s">
        <v>67</v>
      </c>
    </row>
    <row r="2039" spans="1:11" ht="42" customHeight="1">
      <c r="A2039" s="2" t="s">
        <v>4998</v>
      </c>
      <c r="B2039" s="2" t="s">
        <v>4999</v>
      </c>
      <c r="C2039" s="2" t="s">
        <v>80</v>
      </c>
      <c r="D2039" s="2" t="s">
        <v>81</v>
      </c>
      <c r="E2039" s="5">
        <v>-29579</v>
      </c>
      <c r="F2039" s="3" t="s">
        <v>186</v>
      </c>
      <c r="G2039" s="3" t="s">
        <v>33</v>
      </c>
      <c r="H2039" s="2" t="s">
        <v>65</v>
      </c>
      <c r="I2039" s="2" t="s">
        <v>5000</v>
      </c>
      <c r="J2039" s="3" t="str">
        <f>HYPERLINK("https://www.boe.es/gazeta/dias/1819/01/05/pdfs/GMD-1819-2.pdf#page=6","Abrir facsímil")</f>
        <v>Abrir facsímil</v>
      </c>
      <c r="K2039" s="3" t="s">
        <v>67</v>
      </c>
    </row>
    <row r="2040" spans="1:11" ht="42" customHeight="1">
      <c r="A2040" s="2" t="s">
        <v>5001</v>
      </c>
      <c r="B2040" s="2" t="s">
        <v>5001</v>
      </c>
      <c r="C2040" s="2" t="s">
        <v>80</v>
      </c>
      <c r="D2040" s="2" t="s">
        <v>81</v>
      </c>
      <c r="E2040" s="5">
        <v>-29446</v>
      </c>
      <c r="F2040" s="3" t="s">
        <v>773</v>
      </c>
      <c r="G2040" s="3" t="s">
        <v>774</v>
      </c>
      <c r="H2040" s="2" t="s">
        <v>65</v>
      </c>
      <c r="I2040" s="2" t="s">
        <v>5002</v>
      </c>
      <c r="J2040" s="3" t="str">
        <f>HYPERLINK("https://www.boe.es/gazeta/dias/1819/05/18/pdfs/GMD-1819-59.pdf#page=6","Abrir facsímil")</f>
        <v>Abrir facsímil</v>
      </c>
      <c r="K2040" s="3" t="s">
        <v>67</v>
      </c>
    </row>
    <row r="2041" spans="1:11" ht="42" customHeight="1">
      <c r="A2041" s="2" t="s">
        <v>5003</v>
      </c>
      <c r="B2041" s="2" t="s">
        <v>5004</v>
      </c>
      <c r="C2041" s="2" t="s">
        <v>26</v>
      </c>
      <c r="D2041" s="2" t="s">
        <v>18</v>
      </c>
      <c r="E2041" s="5">
        <v>-29397</v>
      </c>
      <c r="F2041" s="3" t="s">
        <v>599</v>
      </c>
      <c r="G2041" s="3" t="s">
        <v>28</v>
      </c>
      <c r="H2041" s="2" t="s">
        <v>21</v>
      </c>
      <c r="I2041" s="2" t="s">
        <v>5005</v>
      </c>
      <c r="J2041" s="3" t="str">
        <f>HYPERLINK("https://www.boe.es/gazeta/dias/1819/07/06/pdfs/GMD-1819-81.pdf#page=8","Abrir facsímil")</f>
        <v>Abrir facsímil</v>
      </c>
      <c r="K2041" s="3" t="s">
        <v>23</v>
      </c>
    </row>
    <row r="2042" spans="1:11" ht="42" customHeight="1">
      <c r="A2042" s="2" t="s">
        <v>5006</v>
      </c>
      <c r="B2042" s="2" t="s">
        <v>5007</v>
      </c>
      <c r="C2042" s="2" t="s">
        <v>59</v>
      </c>
      <c r="D2042" s="2" t="s">
        <v>18</v>
      </c>
      <c r="E2042" s="5">
        <v>-29246</v>
      </c>
      <c r="F2042" s="3" t="s">
        <v>494</v>
      </c>
      <c r="G2042" s="3" t="s">
        <v>495</v>
      </c>
      <c r="H2042" s="2" t="s">
        <v>65</v>
      </c>
      <c r="I2042" s="2" t="s">
        <v>5008</v>
      </c>
      <c r="J2042" s="3" t="str">
        <f>HYPERLINK("https://www.boe.es/gazeta/dias/1819/12/04/pdfs/GMD-1819-149.pdf#page=6","Abrir facsímil")</f>
        <v>Abrir facsímil</v>
      </c>
      <c r="K2042" s="3" t="s">
        <v>67</v>
      </c>
    </row>
    <row r="2043" spans="1:11" ht="42" customHeight="1">
      <c r="A2043" s="2" t="s">
        <v>5009</v>
      </c>
      <c r="B2043" s="2" t="s">
        <v>5010</v>
      </c>
      <c r="C2043" s="2" t="s">
        <v>80</v>
      </c>
      <c r="D2043" s="2" t="s">
        <v>81</v>
      </c>
      <c r="E2043" s="5">
        <v>-29582</v>
      </c>
      <c r="F2043" s="3" t="s">
        <v>376</v>
      </c>
      <c r="G2043" s="3" t="s">
        <v>544</v>
      </c>
      <c r="H2043" s="2" t="s">
        <v>65</v>
      </c>
      <c r="I2043" s="2" t="s">
        <v>5011</v>
      </c>
      <c r="J2043" s="3" t="str">
        <f>HYPERLINK("https://www.boe.es/gazeta/dias/1819/01/02/pdfs/GMD-1819-1.pdf#page=6","Abrir facsímil")</f>
        <v>Abrir facsímil</v>
      </c>
      <c r="K2043" s="3" t="s">
        <v>67</v>
      </c>
    </row>
    <row r="2044" spans="1:11" ht="42" customHeight="1">
      <c r="A2044" s="2" t="s">
        <v>5009</v>
      </c>
      <c r="B2044" s="2" t="s">
        <v>5010</v>
      </c>
      <c r="C2044" s="2" t="s">
        <v>80</v>
      </c>
      <c r="D2044" s="2" t="s">
        <v>81</v>
      </c>
      <c r="E2044" s="5">
        <v>-29530</v>
      </c>
      <c r="F2044" s="3" t="s">
        <v>202</v>
      </c>
      <c r="G2044" s="3" t="s">
        <v>55</v>
      </c>
      <c r="H2044" s="2" t="s">
        <v>65</v>
      </c>
      <c r="I2044" s="2" t="s">
        <v>5012</v>
      </c>
      <c r="J2044" s="3" t="str">
        <f>HYPERLINK("https://www.boe.es/gazeta/dias/1819/02/23/pdfs/GMD-1819-23.pdf#page=7","Abrir facsímil")</f>
        <v>Abrir facsímil</v>
      </c>
      <c r="K2044" s="3" t="s">
        <v>67</v>
      </c>
    </row>
    <row r="2045" spans="1:11" ht="42" customHeight="1">
      <c r="A2045" s="2" t="s">
        <v>5009</v>
      </c>
      <c r="B2045" s="2" t="s">
        <v>5010</v>
      </c>
      <c r="C2045" s="2" t="s">
        <v>80</v>
      </c>
      <c r="D2045" s="2" t="s">
        <v>81</v>
      </c>
      <c r="E2045" s="5">
        <v>-29458</v>
      </c>
      <c r="F2045" s="3" t="s">
        <v>766</v>
      </c>
      <c r="G2045" s="3" t="s">
        <v>296</v>
      </c>
      <c r="H2045" s="2" t="s">
        <v>65</v>
      </c>
      <c r="I2045" s="2" t="s">
        <v>5013</v>
      </c>
      <c r="J2045" s="3" t="str">
        <f>HYPERLINK("https://www.boe.es/gazeta/dias/1819/05/06/pdfs/GMD-1819-54.pdf#page=4","Abrir facsímil")</f>
        <v>Abrir facsímil</v>
      </c>
      <c r="K2045" s="3" t="s">
        <v>67</v>
      </c>
    </row>
    <row r="2046" spans="1:11" ht="42" customHeight="1">
      <c r="A2046" s="2" t="s">
        <v>5009</v>
      </c>
      <c r="B2046" s="2" t="s">
        <v>5010</v>
      </c>
      <c r="C2046" s="2" t="s">
        <v>80</v>
      </c>
      <c r="D2046" s="2" t="s">
        <v>81</v>
      </c>
      <c r="E2046" s="5">
        <v>-29446</v>
      </c>
      <c r="F2046" s="3" t="s">
        <v>773</v>
      </c>
      <c r="G2046" s="3" t="s">
        <v>774</v>
      </c>
      <c r="H2046" s="2" t="s">
        <v>65</v>
      </c>
      <c r="I2046" s="2" t="s">
        <v>5014</v>
      </c>
      <c r="J2046" s="3" t="str">
        <f>HYPERLINK("https://www.boe.es/gazeta/dias/1819/05/18/pdfs/GMD-1819-59.pdf#page=6","Abrir facsímil")</f>
        <v>Abrir facsímil</v>
      </c>
      <c r="K2046" s="3" t="s">
        <v>67</v>
      </c>
    </row>
    <row r="2047" spans="1:11" ht="42" customHeight="1">
      <c r="A2047" s="2" t="s">
        <v>5015</v>
      </c>
      <c r="B2047" s="2" t="s">
        <v>5016</v>
      </c>
      <c r="C2047" s="2" t="s">
        <v>246</v>
      </c>
      <c r="D2047" s="2" t="s">
        <v>18</v>
      </c>
      <c r="E2047" s="5">
        <v>-29304</v>
      </c>
      <c r="F2047" s="3" t="s">
        <v>519</v>
      </c>
      <c r="G2047" s="3" t="s">
        <v>552</v>
      </c>
      <c r="H2047" s="2" t="s">
        <v>65</v>
      </c>
      <c r="I2047" s="2" t="s">
        <v>5017</v>
      </c>
      <c r="J2047" s="3" t="str">
        <f>HYPERLINK("https://www.boe.es/gazeta/dias/1819/10/07/pdfs/GMD-1819-123.pdf#page=6","Abrir facsímil")</f>
        <v>Abrir facsímil</v>
      </c>
      <c r="K2047" s="3" t="s">
        <v>67</v>
      </c>
    </row>
    <row r="2048" spans="1:11" ht="42" customHeight="1">
      <c r="A2048" s="2" t="s">
        <v>5018</v>
      </c>
      <c r="B2048" s="2" t="s">
        <v>5019</v>
      </c>
      <c r="C2048" s="2" t="s">
        <v>80</v>
      </c>
      <c r="D2048" s="2" t="s">
        <v>81</v>
      </c>
      <c r="E2048" s="5">
        <v>-29572</v>
      </c>
      <c r="F2048" s="3" t="s">
        <v>589</v>
      </c>
      <c r="G2048" s="3" t="s">
        <v>33</v>
      </c>
      <c r="H2048" s="2" t="s">
        <v>65</v>
      </c>
      <c r="I2048" s="2" t="s">
        <v>5020</v>
      </c>
      <c r="J2048" s="3" t="str">
        <f>HYPERLINK("https://www.boe.es/gazeta/dias/1819/01/12/pdfs/GMD-1819-5.pdf#page=6","Abrir facsímil")</f>
        <v>Abrir facsímil</v>
      </c>
      <c r="K2048" s="3" t="s">
        <v>67</v>
      </c>
    </row>
    <row r="2049" spans="1:11" ht="42" customHeight="1">
      <c r="A2049" s="2" t="s">
        <v>5021</v>
      </c>
      <c r="B2049" s="2" t="s">
        <v>5022</v>
      </c>
      <c r="C2049" s="2" t="s">
        <v>59</v>
      </c>
      <c r="D2049" s="2" t="s">
        <v>18</v>
      </c>
      <c r="E2049" s="5">
        <v>-29537</v>
      </c>
      <c r="F2049" s="3" t="s">
        <v>593</v>
      </c>
      <c r="G2049" s="3" t="s">
        <v>456</v>
      </c>
      <c r="H2049" s="2" t="s">
        <v>21</v>
      </c>
      <c r="I2049" s="2" t="s">
        <v>5023</v>
      </c>
      <c r="J2049" s="3" t="str">
        <f>HYPERLINK("https://www.boe.es/gazeta/dias/1819/02/16/pdfs/GMD-1819-20.pdf#page=9","Abrir facsímil")</f>
        <v>Abrir facsímil</v>
      </c>
      <c r="K2049" s="3" t="s">
        <v>23</v>
      </c>
    </row>
    <row r="2050" spans="1:11" ht="42" customHeight="1">
      <c r="A2050" s="2" t="s">
        <v>5024</v>
      </c>
      <c r="B2050" s="2" t="s">
        <v>5025</v>
      </c>
      <c r="C2050" s="2" t="s">
        <v>59</v>
      </c>
      <c r="D2050" s="2" t="s">
        <v>18</v>
      </c>
      <c r="E2050" s="5">
        <v>-29575</v>
      </c>
      <c r="F2050" s="3" t="s">
        <v>77</v>
      </c>
      <c r="G2050" s="3" t="s">
        <v>55</v>
      </c>
      <c r="H2050" s="2" t="s">
        <v>21</v>
      </c>
      <c r="I2050" s="2" t="s">
        <v>5026</v>
      </c>
      <c r="J2050" s="3" t="str">
        <f>HYPERLINK("https://www.boe.es/gazeta/dias/1819/01/09/pdfs/GMD-1819-4.pdf#page=7","Abrir facsímil")</f>
        <v>Abrir facsímil</v>
      </c>
      <c r="K2050" s="3" t="s">
        <v>23</v>
      </c>
    </row>
    <row r="2051" spans="1:11" ht="42" customHeight="1">
      <c r="A2051" s="2" t="s">
        <v>5027</v>
      </c>
      <c r="B2051" s="2" t="s">
        <v>5028</v>
      </c>
      <c r="C2051" s="2" t="s">
        <v>59</v>
      </c>
      <c r="D2051" s="2" t="s">
        <v>18</v>
      </c>
      <c r="E2051" s="5">
        <v>-29253</v>
      </c>
      <c r="F2051" s="3" t="s">
        <v>242</v>
      </c>
      <c r="G2051" s="3" t="s">
        <v>33</v>
      </c>
      <c r="H2051" s="2" t="s">
        <v>65</v>
      </c>
      <c r="I2051" s="2" t="s">
        <v>5029</v>
      </c>
      <c r="J2051" s="3" t="str">
        <f>HYPERLINK("https://www.boe.es/gazeta/dias/1819/11/27/pdfs/GMD-1819-146.pdf#page=6","Abrir facsímil")</f>
        <v>Abrir facsímil</v>
      </c>
      <c r="K2051" s="3" t="s">
        <v>67</v>
      </c>
    </row>
    <row r="2052" spans="1:11" ht="42" customHeight="1">
      <c r="A2052" s="2" t="s">
        <v>5030</v>
      </c>
      <c r="B2052" s="2" t="s">
        <v>5031</v>
      </c>
      <c r="C2052" s="2" t="s">
        <v>59</v>
      </c>
      <c r="D2052" s="2" t="s">
        <v>18</v>
      </c>
      <c r="E2052" s="5">
        <v>-29313</v>
      </c>
      <c r="F2052" s="3" t="s">
        <v>129</v>
      </c>
      <c r="G2052" s="3" t="s">
        <v>28</v>
      </c>
      <c r="H2052" s="2" t="s">
        <v>65</v>
      </c>
      <c r="I2052" s="2" t="s">
        <v>5032</v>
      </c>
      <c r="J2052" s="3" t="str">
        <f>HYPERLINK("https://www.boe.es/gazeta/dias/1819/09/28/pdfs/GMD-1819-119.pdf#page=8","Abrir facsímil")</f>
        <v>Abrir facsímil</v>
      </c>
      <c r="K2052" s="3" t="s">
        <v>67</v>
      </c>
    </row>
    <row r="2053" spans="1:11" ht="42" customHeight="1">
      <c r="A2053" s="2" t="s">
        <v>5033</v>
      </c>
      <c r="B2053" s="2" t="s">
        <v>5034</v>
      </c>
      <c r="C2053" s="2" t="s">
        <v>80</v>
      </c>
      <c r="D2053" s="2" t="s">
        <v>81</v>
      </c>
      <c r="E2053" s="5">
        <v>-29239</v>
      </c>
      <c r="F2053" s="3" t="s">
        <v>724</v>
      </c>
      <c r="G2053" s="3" t="s">
        <v>28</v>
      </c>
      <c r="H2053" s="2" t="s">
        <v>21</v>
      </c>
      <c r="I2053" s="2" t="s">
        <v>5035</v>
      </c>
      <c r="J2053" s="3" t="str">
        <f>HYPERLINK("https://www.boe.es/gazeta/dias/1819/12/11/pdfs/GMD-1819-152.pdf#page=8","Abrir facsímil")</f>
        <v>Abrir facsímil</v>
      </c>
      <c r="K2053" s="3" t="s">
        <v>23</v>
      </c>
    </row>
    <row r="2054" spans="1:11" ht="42" customHeight="1">
      <c r="A2054" s="2" t="s">
        <v>5036</v>
      </c>
      <c r="B2054" s="2" t="s">
        <v>5037</v>
      </c>
      <c r="C2054" s="2" t="s">
        <v>63</v>
      </c>
      <c r="D2054" s="2" t="s">
        <v>43</v>
      </c>
      <c r="E2054" s="5">
        <v>-29248</v>
      </c>
      <c r="F2054" s="3" t="s">
        <v>395</v>
      </c>
      <c r="G2054" s="3" t="s">
        <v>296</v>
      </c>
      <c r="H2054" s="2" t="s">
        <v>65</v>
      </c>
      <c r="I2054" s="2" t="s">
        <v>5038</v>
      </c>
      <c r="J2054" s="3" t="str">
        <f>HYPERLINK("https://www.boe.es/gazeta/dias/1819/12/02/pdfs/GMD-1819-148.pdf#page=4","Abrir facsímil")</f>
        <v>Abrir facsímil</v>
      </c>
      <c r="K2054" s="3" t="s">
        <v>67</v>
      </c>
    </row>
    <row r="2055" spans="1:11" ht="42" customHeight="1">
      <c r="A2055" s="2" t="s">
        <v>5039</v>
      </c>
      <c r="B2055" s="2" t="s">
        <v>5040</v>
      </c>
      <c r="C2055" s="2" t="s">
        <v>136</v>
      </c>
      <c r="D2055" s="2" t="s">
        <v>18</v>
      </c>
      <c r="E2055" s="5">
        <v>-29358</v>
      </c>
      <c r="F2055" s="3" t="s">
        <v>170</v>
      </c>
      <c r="G2055" s="3" t="s">
        <v>55</v>
      </c>
      <c r="H2055" s="2" t="s">
        <v>65</v>
      </c>
      <c r="I2055" s="2" t="s">
        <v>5041</v>
      </c>
      <c r="J2055" s="3" t="str">
        <f>HYPERLINK("https://www.boe.es/gazeta/dias/1819/08/14/pdfs/GMD-1819-98.pdf#page=7","Abrir facsímil")</f>
        <v>Abrir facsímil</v>
      </c>
      <c r="K2055" s="3" t="s">
        <v>67</v>
      </c>
    </row>
    <row r="2056" spans="1:11" ht="42" customHeight="1">
      <c r="A2056" s="2" t="s">
        <v>5042</v>
      </c>
      <c r="B2056" s="2" t="s">
        <v>5043</v>
      </c>
      <c r="C2056" s="2" t="s">
        <v>17</v>
      </c>
      <c r="D2056" s="2" t="s">
        <v>18</v>
      </c>
      <c r="E2056" s="5">
        <v>-29225</v>
      </c>
      <c r="F2056" s="3" t="s">
        <v>472</v>
      </c>
      <c r="G2056" s="3" t="s">
        <v>28</v>
      </c>
      <c r="H2056" s="2" t="s">
        <v>65</v>
      </c>
      <c r="I2056" s="2" t="s">
        <v>5044</v>
      </c>
      <c r="J2056" s="3" t="str">
        <f>HYPERLINK("https://www.boe.es/gazeta/dias/1819/12/25/pdfs/GMD-1819-158.pdf#page=8","Abrir facsímil")</f>
        <v>Abrir facsímil</v>
      </c>
      <c r="K2056" s="3" t="s">
        <v>67</v>
      </c>
    </row>
    <row r="2057" spans="1:11" ht="42" customHeight="1">
      <c r="A2057" s="2" t="s">
        <v>5045</v>
      </c>
      <c r="B2057" s="2" t="s">
        <v>5046</v>
      </c>
      <c r="C2057" s="2" t="s">
        <v>59</v>
      </c>
      <c r="D2057" s="2" t="s">
        <v>18</v>
      </c>
      <c r="E2057" s="5">
        <v>-29304</v>
      </c>
      <c r="F2057" s="3" t="s">
        <v>519</v>
      </c>
      <c r="G2057" s="3" t="s">
        <v>552</v>
      </c>
      <c r="H2057" s="2" t="s">
        <v>65</v>
      </c>
      <c r="I2057" s="2" t="s">
        <v>5047</v>
      </c>
      <c r="J2057" s="3" t="str">
        <f>HYPERLINK("https://www.boe.es/gazeta/dias/1819/10/07/pdfs/GMD-1819-123.pdf#page=6","Abrir facsímil")</f>
        <v>Abrir facsímil</v>
      </c>
      <c r="K2057" s="3" t="s">
        <v>67</v>
      </c>
    </row>
    <row r="2058" spans="1:11" ht="42" customHeight="1">
      <c r="A2058" s="2" t="s">
        <v>5048</v>
      </c>
      <c r="B2058" s="2" t="s">
        <v>5048</v>
      </c>
      <c r="C2058" s="2" t="s">
        <v>80</v>
      </c>
      <c r="D2058" s="2" t="s">
        <v>81</v>
      </c>
      <c r="E2058" s="5">
        <v>-29502</v>
      </c>
      <c r="F2058" s="3" t="s">
        <v>86</v>
      </c>
      <c r="G2058" s="3" t="s">
        <v>2658</v>
      </c>
      <c r="H2058" s="2" t="s">
        <v>65</v>
      </c>
      <c r="I2058" s="2" t="s">
        <v>5049</v>
      </c>
      <c r="J2058" s="3" t="str">
        <f>HYPERLINK("https://www.boe.es/gazeta/dias/1819/03/23/pdfs/GMD-1819-35.pdf#page=4","Abrir facsímil")</f>
        <v>Abrir facsímil</v>
      </c>
      <c r="K2058" s="3" t="s">
        <v>67</v>
      </c>
    </row>
    <row r="2059" spans="1:11" ht="42" customHeight="1">
      <c r="A2059" s="2" t="s">
        <v>5050</v>
      </c>
      <c r="B2059" s="2" t="s">
        <v>5050</v>
      </c>
      <c r="C2059" s="2" t="s">
        <v>63</v>
      </c>
      <c r="D2059" s="2" t="s">
        <v>43</v>
      </c>
      <c r="E2059" s="5">
        <v>-29507</v>
      </c>
      <c r="F2059" s="3" t="s">
        <v>1928</v>
      </c>
      <c r="G2059" s="3" t="s">
        <v>102</v>
      </c>
      <c r="H2059" s="2" t="s">
        <v>65</v>
      </c>
      <c r="I2059" s="2" t="s">
        <v>5051</v>
      </c>
      <c r="J2059" s="3" t="str">
        <f>HYPERLINK("https://www.boe.es/gazeta/dias/1819/03/18/pdfs/GMD-1819-33.pdf#page=3","Abrir facsímil")</f>
        <v>Abrir facsímil</v>
      </c>
      <c r="K2059" s="3" t="s">
        <v>67</v>
      </c>
    </row>
    <row r="2060" spans="1:11" ht="42" customHeight="1">
      <c r="A2060" s="2" t="s">
        <v>5052</v>
      </c>
      <c r="B2060" s="2" t="s">
        <v>5052</v>
      </c>
      <c r="C2060" s="2" t="s">
        <v>59</v>
      </c>
      <c r="D2060" s="2" t="s">
        <v>18</v>
      </c>
      <c r="E2060" s="5">
        <v>-29421</v>
      </c>
      <c r="F2060" s="3" t="s">
        <v>1972</v>
      </c>
      <c r="G2060" s="3" t="s">
        <v>102</v>
      </c>
      <c r="H2060" s="2" t="s">
        <v>65</v>
      </c>
      <c r="I2060" s="2" t="s">
        <v>5053</v>
      </c>
      <c r="J2060" s="3" t="str">
        <f>HYPERLINK("https://www.boe.es/gazeta/dias/1819/06/12/pdfs/GMD-1819-70.pdf#page=3","Abrir facsímil")</f>
        <v>Abrir facsímil</v>
      </c>
      <c r="K2060" s="3" t="s">
        <v>67</v>
      </c>
    </row>
    <row r="2061" spans="1:11" ht="42" customHeight="1">
      <c r="A2061" s="2" t="s">
        <v>5054</v>
      </c>
      <c r="B2061" s="2" t="s">
        <v>5055</v>
      </c>
      <c r="C2061" s="2" t="s">
        <v>80</v>
      </c>
      <c r="D2061" s="2" t="s">
        <v>81</v>
      </c>
      <c r="E2061" s="5">
        <v>-29533</v>
      </c>
      <c r="F2061" s="3" t="s">
        <v>280</v>
      </c>
      <c r="G2061" s="3" t="s">
        <v>28</v>
      </c>
      <c r="H2061" s="2" t="s">
        <v>65</v>
      </c>
      <c r="I2061" s="2" t="s">
        <v>5056</v>
      </c>
      <c r="J2061" s="3" t="str">
        <f>HYPERLINK("https://www.boe.es/gazeta/dias/1819/02/20/pdfs/GMD-1819-22.pdf#page=8","Abrir facsímil")</f>
        <v>Abrir facsímil</v>
      </c>
      <c r="K2061" s="3" t="s">
        <v>67</v>
      </c>
    </row>
    <row r="2062" spans="1:11" ht="42" customHeight="1">
      <c r="A2062" s="2" t="s">
        <v>5057</v>
      </c>
      <c r="B2062" s="2" t="s">
        <v>5058</v>
      </c>
      <c r="C2062" s="2" t="s">
        <v>26</v>
      </c>
      <c r="D2062" s="2" t="s">
        <v>18</v>
      </c>
      <c r="E2062" s="5">
        <v>-29537</v>
      </c>
      <c r="F2062" s="3" t="s">
        <v>593</v>
      </c>
      <c r="G2062" s="3" t="s">
        <v>138</v>
      </c>
      <c r="H2062" s="2" t="s">
        <v>65</v>
      </c>
      <c r="I2062" s="2" t="s">
        <v>5059</v>
      </c>
      <c r="J2062" s="3" t="str">
        <f>HYPERLINK("https://www.boe.es/gazeta/dias/1819/02/16/pdfs/GMD-1819-20.pdf#page=12","Abrir facsímil")</f>
        <v>Abrir facsímil</v>
      </c>
      <c r="K2062" s="3" t="s">
        <v>67</v>
      </c>
    </row>
    <row r="2063" spans="1:11" ht="42" customHeight="1">
      <c r="A2063" s="2" t="s">
        <v>5060</v>
      </c>
      <c r="B2063" s="2" t="s">
        <v>5061</v>
      </c>
      <c r="C2063" s="2" t="s">
        <v>80</v>
      </c>
      <c r="D2063" s="2" t="s">
        <v>81</v>
      </c>
      <c r="E2063" s="5">
        <v>-29295</v>
      </c>
      <c r="F2063" s="3" t="s">
        <v>390</v>
      </c>
      <c r="G2063" s="3" t="s">
        <v>28</v>
      </c>
      <c r="H2063" s="2" t="s">
        <v>65</v>
      </c>
      <c r="I2063" s="2" t="s">
        <v>5062</v>
      </c>
      <c r="J2063" s="3" t="str">
        <f>HYPERLINK("https://www.boe.es/gazeta/dias/1819/10/16/pdfs/GMD-1819-127.pdf#page=8","Abrir facsímil")</f>
        <v>Abrir facsímil</v>
      </c>
      <c r="K2063" s="3" t="s">
        <v>67</v>
      </c>
    </row>
    <row r="2064" spans="1:11" ht="42" customHeight="1">
      <c r="A2064" s="2" t="s">
        <v>5063</v>
      </c>
      <c r="B2064" s="2" t="s">
        <v>5063</v>
      </c>
      <c r="C2064" s="2" t="s">
        <v>80</v>
      </c>
      <c r="D2064" s="2" t="s">
        <v>81</v>
      </c>
      <c r="E2064" s="5">
        <v>-29502</v>
      </c>
      <c r="F2064" s="3" t="s">
        <v>86</v>
      </c>
      <c r="G2064" s="3" t="s">
        <v>2658</v>
      </c>
      <c r="H2064" s="2" t="s">
        <v>65</v>
      </c>
      <c r="I2064" s="2" t="s">
        <v>5064</v>
      </c>
      <c r="J2064" s="3" t="str">
        <f>HYPERLINK("https://www.boe.es/gazeta/dias/1819/03/23/pdfs/GMD-1819-35.pdf#page=4","Abrir facsímil")</f>
        <v>Abrir facsímil</v>
      </c>
      <c r="K2064" s="3" t="s">
        <v>67</v>
      </c>
    </row>
    <row r="2065" spans="1:11" ht="42" customHeight="1">
      <c r="A2065" s="2" t="s">
        <v>5065</v>
      </c>
      <c r="B2065" s="2" t="s">
        <v>5066</v>
      </c>
      <c r="C2065" s="2" t="s">
        <v>80</v>
      </c>
      <c r="D2065" s="2" t="s">
        <v>81</v>
      </c>
      <c r="E2065" s="5">
        <v>-29311</v>
      </c>
      <c r="F2065" s="3" t="s">
        <v>678</v>
      </c>
      <c r="G2065" s="3" t="s">
        <v>28</v>
      </c>
      <c r="H2065" s="2" t="s">
        <v>65</v>
      </c>
      <c r="I2065" s="2" t="s">
        <v>5067</v>
      </c>
      <c r="J2065" s="3" t="str">
        <f>HYPERLINK("https://www.boe.es/gazeta/dias/1819/09/30/pdfs/GMD-1819-120.pdf#page=8","Abrir facsímil")</f>
        <v>Abrir facsímil</v>
      </c>
      <c r="K2065" s="3" t="s">
        <v>67</v>
      </c>
    </row>
    <row r="2066" spans="1:11" ht="42" customHeight="1">
      <c r="A2066" s="2" t="s">
        <v>5068</v>
      </c>
      <c r="B2066" s="2" t="s">
        <v>5068</v>
      </c>
      <c r="C2066" s="2" t="s">
        <v>136</v>
      </c>
      <c r="D2066" s="2" t="s">
        <v>18</v>
      </c>
      <c r="E2066" s="5">
        <v>-29465</v>
      </c>
      <c r="F2066" s="3" t="s">
        <v>1934</v>
      </c>
      <c r="G2066" s="3" t="s">
        <v>1935</v>
      </c>
      <c r="H2066" s="2" t="s">
        <v>65</v>
      </c>
      <c r="I2066" s="2" t="s">
        <v>5069</v>
      </c>
      <c r="J2066" s="3" t="str">
        <f>HYPERLINK("https://www.boe.es/gazeta/dias/1819/04/29/pdfs/GMD-1819-51.pdf#page=7","Abrir facsímil")</f>
        <v>Abrir facsímil</v>
      </c>
      <c r="K2066" s="3" t="s">
        <v>67</v>
      </c>
    </row>
    <row r="2067" spans="1:11" ht="42" customHeight="1">
      <c r="A2067" s="2" t="s">
        <v>5070</v>
      </c>
      <c r="B2067" s="2" t="s">
        <v>5070</v>
      </c>
      <c r="C2067" s="2" t="s">
        <v>136</v>
      </c>
      <c r="D2067" s="2" t="s">
        <v>18</v>
      </c>
      <c r="E2067" s="5">
        <v>-29393</v>
      </c>
      <c r="F2067" s="3" t="s">
        <v>536</v>
      </c>
      <c r="G2067" s="3" t="s">
        <v>28</v>
      </c>
      <c r="H2067" s="2" t="s">
        <v>65</v>
      </c>
      <c r="I2067" s="2" t="s">
        <v>5071</v>
      </c>
      <c r="J2067" s="3" t="str">
        <f>HYPERLINK("https://www.boe.es/gazeta/dias/1819/07/10/pdfs/GMD-1819-83.pdf#page=8","Abrir facsímil")</f>
        <v>Abrir facsímil</v>
      </c>
      <c r="K2067" s="3" t="s">
        <v>67</v>
      </c>
    </row>
    <row r="2068" spans="1:11" ht="42" customHeight="1">
      <c r="A2068" s="2" t="s">
        <v>5072</v>
      </c>
      <c r="B2068" s="2" t="s">
        <v>5073</v>
      </c>
      <c r="C2068" s="2" t="s">
        <v>63</v>
      </c>
      <c r="D2068" s="2" t="s">
        <v>43</v>
      </c>
      <c r="E2068" s="5">
        <v>-29274</v>
      </c>
      <c r="F2068" s="3" t="s">
        <v>247</v>
      </c>
      <c r="G2068" s="3" t="s">
        <v>33</v>
      </c>
      <c r="H2068" s="2" t="s">
        <v>65</v>
      </c>
      <c r="I2068" s="2" t="s">
        <v>5074</v>
      </c>
      <c r="J2068" s="3" t="str">
        <f>HYPERLINK("https://www.boe.es/gazeta/dias/1819/11/06/pdfs/GMD-1819-137.pdf#page=6","Abrir facsímil")</f>
        <v>Abrir facsímil</v>
      </c>
      <c r="K2068" s="3" t="s">
        <v>67</v>
      </c>
    </row>
    <row r="2069" spans="1:11" ht="42" customHeight="1">
      <c r="A2069" s="2" t="s">
        <v>5075</v>
      </c>
      <c r="B2069" s="2" t="s">
        <v>5076</v>
      </c>
      <c r="C2069" s="2" t="s">
        <v>136</v>
      </c>
      <c r="D2069" s="2" t="s">
        <v>18</v>
      </c>
      <c r="E2069" s="5">
        <v>-29316</v>
      </c>
      <c r="F2069" s="3" t="s">
        <v>166</v>
      </c>
      <c r="G2069" s="3" t="s">
        <v>138</v>
      </c>
      <c r="H2069" s="2" t="s">
        <v>65</v>
      </c>
      <c r="I2069" s="2" t="s">
        <v>5077</v>
      </c>
      <c r="J2069" s="3" t="str">
        <f>HYPERLINK("https://www.boe.es/gazeta/dias/1819/09/25/pdfs/GMD-1819-118.pdf#page=12","Abrir facsímil")</f>
        <v>Abrir facsímil</v>
      </c>
      <c r="K2069" s="3" t="s">
        <v>67</v>
      </c>
    </row>
    <row r="2070" spans="1:11" ht="42" customHeight="1">
      <c r="A2070" s="2" t="s">
        <v>5078</v>
      </c>
      <c r="B2070" s="2" t="s">
        <v>5079</v>
      </c>
      <c r="C2070" s="2" t="s">
        <v>63</v>
      </c>
      <c r="D2070" s="2" t="s">
        <v>43</v>
      </c>
      <c r="E2070" s="5">
        <v>-29400</v>
      </c>
      <c r="F2070" s="3" t="s">
        <v>2181</v>
      </c>
      <c r="G2070" s="3" t="s">
        <v>3943</v>
      </c>
      <c r="H2070" s="2" t="s">
        <v>65</v>
      </c>
      <c r="I2070" s="2" t="s">
        <v>5080</v>
      </c>
      <c r="J2070" s="3" t="str">
        <f>HYPERLINK("https://www.boe.es/gazeta/dias/1819/07/03/pdfs/GMD-1819-80.pdf#page=6","Abrir facsímil")</f>
        <v>Abrir facsímil</v>
      </c>
      <c r="K2070" s="3" t="s">
        <v>67</v>
      </c>
    </row>
    <row r="2071" spans="1:11" ht="42" customHeight="1">
      <c r="A2071" s="2" t="s">
        <v>5081</v>
      </c>
      <c r="B2071" s="2" t="s">
        <v>5082</v>
      </c>
      <c r="C2071" s="2" t="s">
        <v>17</v>
      </c>
      <c r="D2071" s="2" t="s">
        <v>18</v>
      </c>
      <c r="E2071" s="5">
        <v>-29276</v>
      </c>
      <c r="F2071" s="3" t="s">
        <v>54</v>
      </c>
      <c r="G2071" s="3" t="s">
        <v>55</v>
      </c>
      <c r="H2071" s="2" t="s">
        <v>65</v>
      </c>
      <c r="I2071" s="2" t="s">
        <v>5083</v>
      </c>
      <c r="J2071" s="3" t="str">
        <f>HYPERLINK("https://www.boe.es/gazeta/dias/1819/11/04/pdfs/GMD-1819-136.pdf#page=7","Abrir facsímil")</f>
        <v>Abrir facsímil</v>
      </c>
      <c r="K2071" s="3" t="s">
        <v>67</v>
      </c>
    </row>
    <row r="2072" spans="1:11" ht="42" customHeight="1">
      <c r="A2072" s="2" t="s">
        <v>5084</v>
      </c>
      <c r="B2072" s="2" t="s">
        <v>5085</v>
      </c>
      <c r="C2072" s="2" t="s">
        <v>59</v>
      </c>
      <c r="D2072" s="2" t="s">
        <v>18</v>
      </c>
      <c r="E2072" s="5">
        <v>-29276</v>
      </c>
      <c r="F2072" s="3" t="s">
        <v>54</v>
      </c>
      <c r="G2072" s="3" t="s">
        <v>284</v>
      </c>
      <c r="H2072" s="2" t="s">
        <v>65</v>
      </c>
      <c r="I2072" s="2" t="s">
        <v>5086</v>
      </c>
      <c r="J2072" s="3" t="str">
        <f>HYPERLINK("https://www.boe.es/gazeta/dias/1819/11/04/pdfs/GMD-1819-136.pdf#page=6","Abrir facsímil")</f>
        <v>Abrir facsímil</v>
      </c>
      <c r="K2072" s="3" t="s">
        <v>67</v>
      </c>
    </row>
    <row r="2073" spans="1:11" ht="42" customHeight="1">
      <c r="A2073" s="2" t="s">
        <v>5087</v>
      </c>
      <c r="B2073" s="2" t="s">
        <v>5088</v>
      </c>
      <c r="C2073" s="2" t="s">
        <v>59</v>
      </c>
      <c r="D2073" s="2" t="s">
        <v>18</v>
      </c>
      <c r="E2073" s="5">
        <v>-29292</v>
      </c>
      <c r="F2073" s="3" t="s">
        <v>875</v>
      </c>
      <c r="G2073" s="3" t="s">
        <v>28</v>
      </c>
      <c r="H2073" s="2" t="s">
        <v>65</v>
      </c>
      <c r="I2073" s="2" t="s">
        <v>5089</v>
      </c>
      <c r="J2073" s="3" t="str">
        <f>HYPERLINK("https://www.boe.es/gazeta/dias/1819/10/19/pdfs/GMD-1819-128.pdf#page=8","Abrir facsímil")</f>
        <v>Abrir facsímil</v>
      </c>
      <c r="K2073" s="3" t="s">
        <v>67</v>
      </c>
    </row>
    <row r="2074" spans="1:11" ht="42" customHeight="1">
      <c r="A2074" s="2" t="s">
        <v>5090</v>
      </c>
      <c r="B2074" s="2" t="s">
        <v>5090</v>
      </c>
      <c r="C2074" s="2" t="s">
        <v>80</v>
      </c>
      <c r="D2074" s="2" t="s">
        <v>81</v>
      </c>
      <c r="E2074" s="5">
        <v>-29477</v>
      </c>
      <c r="F2074" s="3" t="s">
        <v>789</v>
      </c>
      <c r="G2074" s="3" t="s">
        <v>259</v>
      </c>
      <c r="H2074" s="2" t="s">
        <v>65</v>
      </c>
      <c r="I2074" s="2" t="s">
        <v>5091</v>
      </c>
      <c r="J2074" s="3" t="str">
        <f>HYPERLINK("https://www.boe.es/gazeta/dias/1819/04/17/pdfs/GMD-1819-46.pdf#page=2","Abrir facsímil")</f>
        <v>Abrir facsímil</v>
      </c>
      <c r="K2074" s="3" t="s">
        <v>67</v>
      </c>
    </row>
    <row r="2075" spans="1:11" ht="42" customHeight="1">
      <c r="A2075" s="2" t="s">
        <v>5090</v>
      </c>
      <c r="B2075" s="2" t="s">
        <v>5090</v>
      </c>
      <c r="C2075" s="2" t="s">
        <v>80</v>
      </c>
      <c r="D2075" s="2" t="s">
        <v>81</v>
      </c>
      <c r="E2075" s="5">
        <v>-29477</v>
      </c>
      <c r="F2075" s="3" t="s">
        <v>789</v>
      </c>
      <c r="G2075" s="3" t="s">
        <v>102</v>
      </c>
      <c r="H2075" s="2" t="s">
        <v>65</v>
      </c>
      <c r="I2075" s="2" t="s">
        <v>5092</v>
      </c>
      <c r="J2075" s="3" t="str">
        <f>HYPERLINK("https://www.boe.es/gazeta/dias/1819/04/17/pdfs/GMD-1819-46.pdf#page=3","Abrir facsímil")</f>
        <v>Abrir facsímil</v>
      </c>
      <c r="K2075" s="3" t="s">
        <v>67</v>
      </c>
    </row>
    <row r="2076" spans="1:11" ht="42" customHeight="1">
      <c r="A2076" s="2" t="s">
        <v>5093</v>
      </c>
      <c r="B2076" s="2" t="s">
        <v>5094</v>
      </c>
      <c r="C2076" s="2" t="s">
        <v>80</v>
      </c>
      <c r="D2076" s="2" t="s">
        <v>81</v>
      </c>
      <c r="E2076" s="5">
        <v>-29516</v>
      </c>
      <c r="F2076" s="3" t="s">
        <v>137</v>
      </c>
      <c r="G2076" s="3" t="s">
        <v>456</v>
      </c>
      <c r="H2076" s="2" t="s">
        <v>65</v>
      </c>
      <c r="I2076" s="2" t="s">
        <v>5095</v>
      </c>
      <c r="J2076" s="3" t="str">
        <f>HYPERLINK("https://www.boe.es/gazeta/dias/1819/03/09/pdfs/GMD-1819-29.pdf#page=9","Abrir facsímil")</f>
        <v>Abrir facsímil</v>
      </c>
      <c r="K2076" s="3" t="s">
        <v>67</v>
      </c>
    </row>
    <row r="2077" spans="1:11" ht="42" customHeight="1">
      <c r="A2077" s="2" t="s">
        <v>5096</v>
      </c>
      <c r="B2077" s="2" t="s">
        <v>5097</v>
      </c>
      <c r="C2077" s="2" t="s">
        <v>80</v>
      </c>
      <c r="D2077" s="2" t="s">
        <v>454</v>
      </c>
      <c r="E2077" s="5">
        <v>-29287</v>
      </c>
      <c r="F2077" s="3" t="s">
        <v>455</v>
      </c>
      <c r="G2077" s="3" t="s">
        <v>481</v>
      </c>
      <c r="H2077" s="2" t="s">
        <v>65</v>
      </c>
      <c r="I2077" s="2" t="s">
        <v>5098</v>
      </c>
      <c r="J2077" s="3" t="str">
        <f>HYPERLINK("https://www.boe.es/gazeta/dias/1819/10/24/pdfs/GMD-1819-131E.pdf#page=8","Abrir facsímil")</f>
        <v>Abrir facsímil</v>
      </c>
      <c r="K2077" s="3" t="s">
        <v>67</v>
      </c>
    </row>
    <row r="2078" spans="1:11" ht="42" customHeight="1">
      <c r="A2078" s="2" t="s">
        <v>5099</v>
      </c>
      <c r="B2078" s="2" t="s">
        <v>5100</v>
      </c>
      <c r="C2078" s="2" t="s">
        <v>17</v>
      </c>
      <c r="D2078" s="2" t="s">
        <v>18</v>
      </c>
      <c r="E2078" s="5">
        <v>-29540</v>
      </c>
      <c r="F2078" s="3" t="s">
        <v>154</v>
      </c>
      <c r="G2078" s="3" t="s">
        <v>33</v>
      </c>
      <c r="H2078" s="2" t="s">
        <v>65</v>
      </c>
      <c r="I2078" s="2" t="s">
        <v>5101</v>
      </c>
      <c r="J2078" s="3" t="str">
        <f>HYPERLINK("https://www.boe.es/gazeta/dias/1819/02/13/pdfs/GMD-1819-19.pdf#page=6","Abrir facsímil")</f>
        <v>Abrir facsímil</v>
      </c>
      <c r="K2078" s="3" t="s">
        <v>67</v>
      </c>
    </row>
    <row r="2079" spans="1:11" ht="42" customHeight="1">
      <c r="A2079" s="2" t="s">
        <v>5102</v>
      </c>
      <c r="B2079" s="2" t="s">
        <v>5103</v>
      </c>
      <c r="C2079" s="2" t="s">
        <v>63</v>
      </c>
      <c r="D2079" s="2" t="s">
        <v>43</v>
      </c>
      <c r="E2079" s="5">
        <v>-29281</v>
      </c>
      <c r="F2079" s="3" t="s">
        <v>19</v>
      </c>
      <c r="G2079" s="3" t="s">
        <v>55</v>
      </c>
      <c r="H2079" s="2" t="s">
        <v>65</v>
      </c>
      <c r="I2079" s="2" t="s">
        <v>5104</v>
      </c>
      <c r="J2079" s="3" t="str">
        <f>HYPERLINK("https://www.boe.es/gazeta/dias/1819/10/30/pdfs/GMD-1819-134.pdf#page=7","Abrir facsímil")</f>
        <v>Abrir facsímil</v>
      </c>
      <c r="K2079" s="3" t="s">
        <v>67</v>
      </c>
    </row>
    <row r="2080" spans="1:11" ht="42" customHeight="1">
      <c r="A2080" s="2" t="s">
        <v>5105</v>
      </c>
      <c r="B2080" s="2" t="s">
        <v>5106</v>
      </c>
      <c r="C2080" s="2" t="s">
        <v>80</v>
      </c>
      <c r="D2080" s="2" t="s">
        <v>81</v>
      </c>
      <c r="E2080" s="5">
        <v>-29299</v>
      </c>
      <c r="F2080" s="3" t="s">
        <v>798</v>
      </c>
      <c r="G2080" s="3" t="s">
        <v>1562</v>
      </c>
      <c r="H2080" s="2" t="s">
        <v>21</v>
      </c>
      <c r="I2080" s="2" t="s">
        <v>5107</v>
      </c>
      <c r="J2080" s="3" t="str">
        <f>HYPERLINK("https://www.boe.es/gazeta/dias/1819/10/12/pdfs/GMD-1819-125.pdf#page=8","Abrir facsímil")</f>
        <v>Abrir facsímil</v>
      </c>
      <c r="K2080" s="3" t="s">
        <v>23</v>
      </c>
    </row>
    <row r="2081" spans="1:11" ht="42" customHeight="1">
      <c r="A2081" s="2" t="s">
        <v>5108</v>
      </c>
      <c r="B2081" s="2" t="s">
        <v>5109</v>
      </c>
      <c r="C2081" s="2" t="s">
        <v>59</v>
      </c>
      <c r="D2081" s="2" t="s">
        <v>18</v>
      </c>
      <c r="E2081" s="5">
        <v>-29292</v>
      </c>
      <c r="F2081" s="3" t="s">
        <v>875</v>
      </c>
      <c r="G2081" s="3" t="s">
        <v>28</v>
      </c>
      <c r="H2081" s="2" t="s">
        <v>65</v>
      </c>
      <c r="I2081" s="2" t="s">
        <v>5110</v>
      </c>
      <c r="J2081" s="3" t="str">
        <f>HYPERLINK("https://www.boe.es/gazeta/dias/1819/10/19/pdfs/GMD-1819-128.pdf#page=8","Abrir facsímil")</f>
        <v>Abrir facsímil</v>
      </c>
      <c r="K2081" s="3" t="s">
        <v>67</v>
      </c>
    </row>
    <row r="2082" spans="1:11" ht="42" customHeight="1">
      <c r="A2082" s="2" t="s">
        <v>5111</v>
      </c>
      <c r="B2082" s="2" t="s">
        <v>5112</v>
      </c>
      <c r="C2082" s="2" t="s">
        <v>80</v>
      </c>
      <c r="D2082" s="2" t="s">
        <v>81</v>
      </c>
      <c r="E2082" s="5">
        <v>-29278</v>
      </c>
      <c r="F2082" s="3" t="s">
        <v>1950</v>
      </c>
      <c r="G2082" s="3" t="s">
        <v>33</v>
      </c>
      <c r="H2082" s="2" t="s">
        <v>65</v>
      </c>
      <c r="I2082" s="2" t="s">
        <v>5113</v>
      </c>
      <c r="J2082" s="3" t="str">
        <f>HYPERLINK("https://www.boe.es/gazeta/dias/1819/11/02/pdfs/GMD-1819-135.pdf#page=6","Abrir facsímil")</f>
        <v>Abrir facsímil</v>
      </c>
      <c r="K2082" s="3" t="s">
        <v>67</v>
      </c>
    </row>
    <row r="2083" spans="1:11" ht="42" customHeight="1">
      <c r="A2083" s="2" t="s">
        <v>5114</v>
      </c>
      <c r="B2083" s="2" t="s">
        <v>5115</v>
      </c>
      <c r="C2083" s="2" t="s">
        <v>26</v>
      </c>
      <c r="D2083" s="2" t="s">
        <v>454</v>
      </c>
      <c r="E2083" s="5">
        <v>-29287</v>
      </c>
      <c r="F2083" s="3" t="s">
        <v>455</v>
      </c>
      <c r="G2083" s="3" t="s">
        <v>20</v>
      </c>
      <c r="H2083" s="2" t="s">
        <v>65</v>
      </c>
      <c r="I2083" s="2" t="s">
        <v>5116</v>
      </c>
      <c r="J2083" s="3" t="str">
        <f>HYPERLINK("https://www.boe.es/gazeta/dias/1819/10/24/pdfs/GMD-1819-131E.pdf#page=10","Abrir facsímil")</f>
        <v>Abrir facsímil</v>
      </c>
      <c r="K2083" s="3" t="s">
        <v>67</v>
      </c>
    </row>
    <row r="2084" spans="1:11" ht="42" customHeight="1">
      <c r="A2084" s="2" t="s">
        <v>5117</v>
      </c>
      <c r="B2084" s="2" t="s">
        <v>5118</v>
      </c>
      <c r="C2084" s="2" t="s">
        <v>59</v>
      </c>
      <c r="D2084" s="2" t="s">
        <v>18</v>
      </c>
      <c r="E2084" s="5">
        <v>-29344</v>
      </c>
      <c r="F2084" s="3" t="s">
        <v>1865</v>
      </c>
      <c r="G2084" s="3" t="s">
        <v>102</v>
      </c>
      <c r="H2084" s="2" t="s">
        <v>65</v>
      </c>
      <c r="I2084" s="2" t="s">
        <v>5119</v>
      </c>
      <c r="J2084" s="3" t="str">
        <f>HYPERLINK("https://www.boe.es/gazeta/dias/1819/08/28/pdfs/GMD-1819-104.pdf#page=3","Abrir facsímil")</f>
        <v>Abrir facsímil</v>
      </c>
      <c r="K2084" s="3" t="s">
        <v>67</v>
      </c>
    </row>
    <row r="2085" spans="1:11" ht="42" customHeight="1">
      <c r="A2085" s="2" t="s">
        <v>5120</v>
      </c>
      <c r="B2085" s="2" t="s">
        <v>5121</v>
      </c>
      <c r="C2085" s="2" t="s">
        <v>59</v>
      </c>
      <c r="D2085" s="2" t="s">
        <v>18</v>
      </c>
      <c r="E2085" s="5">
        <v>-29460</v>
      </c>
      <c r="F2085" s="3" t="s">
        <v>1534</v>
      </c>
      <c r="G2085" s="3" t="s">
        <v>239</v>
      </c>
      <c r="H2085" s="2" t="s">
        <v>65</v>
      </c>
      <c r="I2085" s="2" t="s">
        <v>5122</v>
      </c>
      <c r="J2085" s="3" t="str">
        <f>HYPERLINK("https://www.boe.es/gazeta/dias/1819/05/04/pdfs/GMD-1819-53.pdf#page=1","Abrir facsímil")</f>
        <v>Abrir facsímil</v>
      </c>
      <c r="K2085" s="3" t="s">
        <v>67</v>
      </c>
    </row>
    <row r="2086" spans="1:11" ht="42" customHeight="1">
      <c r="A2086" s="2" t="s">
        <v>5123</v>
      </c>
      <c r="B2086" s="2" t="s">
        <v>5124</v>
      </c>
      <c r="C2086" s="2" t="s">
        <v>63</v>
      </c>
      <c r="D2086" s="2" t="s">
        <v>43</v>
      </c>
      <c r="E2086" s="5">
        <v>-29271</v>
      </c>
      <c r="F2086" s="3" t="s">
        <v>32</v>
      </c>
      <c r="G2086" s="3" t="s">
        <v>55</v>
      </c>
      <c r="H2086" s="2" t="s">
        <v>65</v>
      </c>
      <c r="I2086" s="2" t="s">
        <v>5125</v>
      </c>
      <c r="J2086" s="3" t="str">
        <f>HYPERLINK("https://www.boe.es/gazeta/dias/1819/11/09/pdfs/GMD-1819-138.pdf#page=7","Abrir facsímil")</f>
        <v>Abrir facsímil</v>
      </c>
      <c r="K2086" s="3" t="s">
        <v>67</v>
      </c>
    </row>
    <row r="2087" spans="1:11" ht="42" customHeight="1">
      <c r="A2087" s="2" t="s">
        <v>5126</v>
      </c>
      <c r="B2087" s="2" t="s">
        <v>5127</v>
      </c>
      <c r="C2087" s="2" t="s">
        <v>80</v>
      </c>
      <c r="D2087" s="2" t="s">
        <v>81</v>
      </c>
      <c r="E2087" s="5">
        <v>-29575</v>
      </c>
      <c r="F2087" s="3" t="s">
        <v>77</v>
      </c>
      <c r="G2087" s="3" t="s">
        <v>38</v>
      </c>
      <c r="H2087" s="2" t="s">
        <v>65</v>
      </c>
      <c r="I2087" s="2" t="s">
        <v>5128</v>
      </c>
      <c r="J2087" s="3" t="str">
        <f>HYPERLINK("https://www.boe.es/gazeta/dias/1819/01/09/pdfs/GMD-1819-4.pdf#page=5","Abrir facsímil")</f>
        <v>Abrir facsímil</v>
      </c>
      <c r="K2087" s="3" t="s">
        <v>67</v>
      </c>
    </row>
    <row r="2088" spans="1:11" ht="42" customHeight="1">
      <c r="A2088" s="2" t="s">
        <v>5129</v>
      </c>
      <c r="B2088" s="2" t="s">
        <v>5129</v>
      </c>
      <c r="C2088" s="2" t="s">
        <v>80</v>
      </c>
      <c r="D2088" s="2" t="s">
        <v>81</v>
      </c>
      <c r="E2088" s="5">
        <v>-29481</v>
      </c>
      <c r="F2088" s="3" t="s">
        <v>1504</v>
      </c>
      <c r="G2088" s="3" t="s">
        <v>33</v>
      </c>
      <c r="H2088" s="2" t="s">
        <v>65</v>
      </c>
      <c r="I2088" s="2" t="s">
        <v>5130</v>
      </c>
      <c r="J2088" s="3" t="str">
        <f>HYPERLINK("https://www.boe.es/gazeta/dias/1819/04/13/pdfs/GMD-1819-44.pdf#page=6","Abrir facsímil")</f>
        <v>Abrir facsímil</v>
      </c>
      <c r="K2088" s="3" t="s">
        <v>67</v>
      </c>
    </row>
    <row r="2089" spans="1:11" ht="42" customHeight="1">
      <c r="A2089" s="2" t="s">
        <v>5131</v>
      </c>
      <c r="B2089" s="2" t="s">
        <v>5131</v>
      </c>
      <c r="C2089" s="2" t="s">
        <v>80</v>
      </c>
      <c r="D2089" s="2" t="s">
        <v>81</v>
      </c>
      <c r="E2089" s="5">
        <v>-29479</v>
      </c>
      <c r="F2089" s="3" t="s">
        <v>979</v>
      </c>
      <c r="G2089" s="3" t="s">
        <v>296</v>
      </c>
      <c r="H2089" s="2" t="s">
        <v>65</v>
      </c>
      <c r="I2089" s="2" t="s">
        <v>5132</v>
      </c>
      <c r="J2089" s="3" t="str">
        <f>HYPERLINK("https://www.boe.es/gazeta/dias/1819/04/15/pdfs/GMD-1819-45.pdf#page=4","Abrir facsímil")</f>
        <v>Abrir facsímil</v>
      </c>
      <c r="K2089" s="3" t="s">
        <v>67</v>
      </c>
    </row>
    <row r="2090" spans="1:11" ht="42" customHeight="1">
      <c r="A2090" s="2" t="s">
        <v>5133</v>
      </c>
      <c r="B2090" s="2" t="s">
        <v>5134</v>
      </c>
      <c r="C2090" s="2" t="s">
        <v>215</v>
      </c>
      <c r="D2090" s="2" t="s">
        <v>18</v>
      </c>
      <c r="E2090" s="5">
        <v>-29537</v>
      </c>
      <c r="F2090" s="3" t="s">
        <v>593</v>
      </c>
      <c r="G2090" s="3" t="s">
        <v>94</v>
      </c>
      <c r="H2090" s="2" t="s">
        <v>65</v>
      </c>
      <c r="I2090" s="2" t="s">
        <v>5135</v>
      </c>
      <c r="J2090" s="3" t="str">
        <f>HYPERLINK("https://www.boe.es/gazeta/dias/1819/02/16/pdfs/GMD-1819-20.pdf#page=11","Abrir facsímil")</f>
        <v>Abrir facsímil</v>
      </c>
      <c r="K2090" s="3" t="s">
        <v>67</v>
      </c>
    </row>
    <row r="2091" spans="1:11" ht="42" customHeight="1">
      <c r="A2091" s="2" t="s">
        <v>5136</v>
      </c>
      <c r="B2091" s="2" t="s">
        <v>5136</v>
      </c>
      <c r="C2091" s="2" t="s">
        <v>80</v>
      </c>
      <c r="D2091" s="2" t="s">
        <v>81</v>
      </c>
      <c r="E2091" s="5">
        <v>-29446</v>
      </c>
      <c r="F2091" s="3" t="s">
        <v>773</v>
      </c>
      <c r="G2091" s="3" t="s">
        <v>102</v>
      </c>
      <c r="H2091" s="2" t="s">
        <v>65</v>
      </c>
      <c r="I2091" s="2" t="s">
        <v>5137</v>
      </c>
      <c r="J2091" s="3" t="str">
        <f>HYPERLINK("https://www.boe.es/gazeta/dias/1819/05/18/pdfs/GMD-1819-59.pdf#page=3","Abrir facsímil")</f>
        <v>Abrir facsímil</v>
      </c>
      <c r="K2091" s="3" t="s">
        <v>67</v>
      </c>
    </row>
    <row r="2092" spans="1:11" ht="42" customHeight="1">
      <c r="A2092" s="2" t="s">
        <v>5138</v>
      </c>
      <c r="B2092" s="2" t="s">
        <v>5139</v>
      </c>
      <c r="C2092" s="2" t="s">
        <v>17</v>
      </c>
      <c r="D2092" s="2" t="s">
        <v>18</v>
      </c>
      <c r="E2092" s="5">
        <v>-29248</v>
      </c>
      <c r="F2092" s="3" t="s">
        <v>395</v>
      </c>
      <c r="G2092" s="3" t="s">
        <v>38</v>
      </c>
      <c r="H2092" s="2" t="s">
        <v>21</v>
      </c>
      <c r="I2092" s="2" t="s">
        <v>5140</v>
      </c>
      <c r="J2092" s="3" t="str">
        <f>HYPERLINK("https://www.boe.es/gazeta/dias/1819/12/02/pdfs/GMD-1819-148.pdf#page=5","Abrir facsímil")</f>
        <v>Abrir facsímil</v>
      </c>
      <c r="K2092" s="3" t="s">
        <v>23</v>
      </c>
    </row>
    <row r="2093" spans="1:11" ht="42" customHeight="1">
      <c r="A2093" s="2" t="s">
        <v>5141</v>
      </c>
      <c r="B2093" s="2" t="s">
        <v>5141</v>
      </c>
      <c r="C2093" s="2" t="s">
        <v>80</v>
      </c>
      <c r="D2093" s="2" t="s">
        <v>81</v>
      </c>
      <c r="E2093" s="5">
        <v>-29498</v>
      </c>
      <c r="F2093" s="3" t="s">
        <v>119</v>
      </c>
      <c r="G2093" s="3" t="s">
        <v>5142</v>
      </c>
      <c r="H2093" s="2" t="s">
        <v>65</v>
      </c>
      <c r="I2093" s="2" t="s">
        <v>5143</v>
      </c>
      <c r="J2093" s="3" t="str">
        <f>HYPERLINK("https://www.boe.es/gazeta/dias/1819/03/27/pdfs/GMD-1819-37.pdf#page=5","Abrir facsímil")</f>
        <v>Abrir facsímil</v>
      </c>
      <c r="K2093" s="3" t="s">
        <v>67</v>
      </c>
    </row>
    <row r="2094" spans="1:11" ht="42" customHeight="1">
      <c r="A2094" s="2" t="s">
        <v>5144</v>
      </c>
      <c r="B2094" s="2" t="s">
        <v>5144</v>
      </c>
      <c r="C2094" s="2" t="s">
        <v>80</v>
      </c>
      <c r="D2094" s="2" t="s">
        <v>454</v>
      </c>
      <c r="E2094" s="5">
        <v>-29287</v>
      </c>
      <c r="F2094" s="3" t="s">
        <v>455</v>
      </c>
      <c r="G2094" s="3" t="s">
        <v>456</v>
      </c>
      <c r="H2094" s="2" t="s">
        <v>65</v>
      </c>
      <c r="I2094" s="2" t="s">
        <v>5145</v>
      </c>
      <c r="J2094" s="3" t="str">
        <f>HYPERLINK("https://www.boe.es/gazeta/dias/1819/10/24/pdfs/GMD-1819-131E.pdf#page=9","Abrir facsímil")</f>
        <v>Abrir facsímil</v>
      </c>
      <c r="K2094" s="3" t="s">
        <v>67</v>
      </c>
    </row>
    <row r="2095" spans="1:11" ht="42" customHeight="1">
      <c r="A2095" s="2" t="s">
        <v>5146</v>
      </c>
      <c r="B2095" s="2" t="s">
        <v>5146</v>
      </c>
      <c r="C2095" s="2" t="s">
        <v>59</v>
      </c>
      <c r="D2095" s="2" t="s">
        <v>454</v>
      </c>
      <c r="E2095" s="5">
        <v>-29419</v>
      </c>
      <c r="F2095" s="3" t="s">
        <v>1491</v>
      </c>
      <c r="G2095" s="3" t="s">
        <v>102</v>
      </c>
      <c r="H2095" s="2" t="s">
        <v>65</v>
      </c>
      <c r="I2095" s="2" t="s">
        <v>5147</v>
      </c>
      <c r="J2095" s="3" t="str">
        <f>HYPERLINK("https://www.boe.es/gazeta/dias/1819/06/14/pdfs/GMD-1819-71E.pdf#page=3","Abrir facsímil")</f>
        <v>Abrir facsímil</v>
      </c>
      <c r="K2095" s="3" t="s">
        <v>67</v>
      </c>
    </row>
    <row r="2096" spans="1:11" ht="42" customHeight="1">
      <c r="A2096" s="2" t="s">
        <v>5148</v>
      </c>
      <c r="B2096" s="2" t="s">
        <v>5149</v>
      </c>
      <c r="C2096" s="2" t="s">
        <v>80</v>
      </c>
      <c r="D2096" s="2" t="s">
        <v>81</v>
      </c>
      <c r="E2096" s="5">
        <v>-29372</v>
      </c>
      <c r="F2096" s="3" t="s">
        <v>715</v>
      </c>
      <c r="G2096" s="3" t="s">
        <v>33</v>
      </c>
      <c r="H2096" s="2" t="s">
        <v>65</v>
      </c>
      <c r="I2096" s="2" t="s">
        <v>5150</v>
      </c>
      <c r="J2096" s="3" t="str">
        <f>HYPERLINK("https://www.boe.es/gazeta/dias/1819/07/31/pdfs/GMD-1819-92.pdf#page=6","Abrir facsímil")</f>
        <v>Abrir facsímil</v>
      </c>
      <c r="K2096" s="3" t="s">
        <v>67</v>
      </c>
    </row>
    <row r="2097" spans="1:11" ht="42" customHeight="1">
      <c r="A2097" s="2" t="s">
        <v>5151</v>
      </c>
      <c r="B2097" s="2" t="s">
        <v>5152</v>
      </c>
      <c r="C2097" s="2" t="s">
        <v>80</v>
      </c>
      <c r="D2097" s="2" t="s">
        <v>454</v>
      </c>
      <c r="E2097" s="5">
        <v>-29287</v>
      </c>
      <c r="F2097" s="3" t="s">
        <v>455</v>
      </c>
      <c r="G2097" s="3" t="s">
        <v>481</v>
      </c>
      <c r="H2097" s="2" t="s">
        <v>65</v>
      </c>
      <c r="I2097" s="2" t="s">
        <v>5153</v>
      </c>
      <c r="J2097" s="3" t="str">
        <f>HYPERLINK("https://www.boe.es/gazeta/dias/1819/10/24/pdfs/GMD-1819-131E.pdf#page=8","Abrir facsímil")</f>
        <v>Abrir facsímil</v>
      </c>
      <c r="K2097" s="3" t="s">
        <v>67</v>
      </c>
    </row>
    <row r="2098" spans="1:11" ht="42" customHeight="1">
      <c r="A2098" s="2" t="s">
        <v>5154</v>
      </c>
      <c r="B2098" s="2" t="s">
        <v>5154</v>
      </c>
      <c r="C2098" s="2" t="s">
        <v>80</v>
      </c>
      <c r="D2098" s="2" t="s">
        <v>81</v>
      </c>
      <c r="E2098" s="5">
        <v>-29397</v>
      </c>
      <c r="F2098" s="3" t="s">
        <v>599</v>
      </c>
      <c r="G2098" s="3" t="s">
        <v>38</v>
      </c>
      <c r="H2098" s="2" t="s">
        <v>65</v>
      </c>
      <c r="I2098" s="2" t="s">
        <v>5155</v>
      </c>
      <c r="J2098" s="3" t="str">
        <f>HYPERLINK("https://www.boe.es/gazeta/dias/1819/07/06/pdfs/GMD-1819-81.pdf#page=5","Abrir facsímil")</f>
        <v>Abrir facsímil</v>
      </c>
      <c r="K2098" s="3" t="s">
        <v>67</v>
      </c>
    </row>
    <row r="2099" spans="1:11" ht="42" customHeight="1">
      <c r="A2099" s="2" t="s">
        <v>5156</v>
      </c>
      <c r="B2099" s="2" t="s">
        <v>5157</v>
      </c>
      <c r="C2099" s="2" t="s">
        <v>80</v>
      </c>
      <c r="D2099" s="2" t="s">
        <v>81</v>
      </c>
      <c r="E2099" s="5">
        <v>-29414</v>
      </c>
      <c r="F2099" s="3" t="s">
        <v>732</v>
      </c>
      <c r="G2099" s="3" t="s">
        <v>296</v>
      </c>
      <c r="H2099" s="2" t="s">
        <v>65</v>
      </c>
      <c r="I2099" s="2" t="s">
        <v>5158</v>
      </c>
      <c r="J2099" s="3" t="str">
        <f>HYPERLINK("https://www.boe.es/gazeta/dias/1819/06/19/pdfs/GMD-1819-74.pdf#page=4","Abrir facsímil")</f>
        <v>Abrir facsímil</v>
      </c>
      <c r="K2099" s="3" t="s">
        <v>67</v>
      </c>
    </row>
    <row r="2100" spans="1:11" ht="42" customHeight="1">
      <c r="A2100" s="2" t="s">
        <v>5159</v>
      </c>
      <c r="B2100" s="2" t="s">
        <v>5160</v>
      </c>
      <c r="C2100" s="2" t="s">
        <v>80</v>
      </c>
      <c r="D2100" s="2" t="s">
        <v>81</v>
      </c>
      <c r="E2100" s="5">
        <v>-29530</v>
      </c>
      <c r="F2100" s="3" t="s">
        <v>202</v>
      </c>
      <c r="G2100" s="3" t="s">
        <v>33</v>
      </c>
      <c r="H2100" s="2" t="s">
        <v>65</v>
      </c>
      <c r="I2100" s="2" t="s">
        <v>5161</v>
      </c>
      <c r="J2100" s="3" t="str">
        <f>HYPERLINK("https://www.boe.es/gazeta/dias/1819/02/23/pdfs/GMD-1819-23.pdf#page=6","Abrir facsímil")</f>
        <v>Abrir facsímil</v>
      </c>
      <c r="K2100" s="3" t="s">
        <v>67</v>
      </c>
    </row>
    <row r="2101" spans="1:11" ht="42" customHeight="1">
      <c r="A2101" s="2" t="s">
        <v>5159</v>
      </c>
      <c r="B2101" s="2" t="s">
        <v>5160</v>
      </c>
      <c r="C2101" s="2" t="s">
        <v>80</v>
      </c>
      <c r="D2101" s="2" t="s">
        <v>81</v>
      </c>
      <c r="E2101" s="5">
        <v>-29414</v>
      </c>
      <c r="F2101" s="3" t="s">
        <v>732</v>
      </c>
      <c r="G2101" s="3" t="s">
        <v>38</v>
      </c>
      <c r="H2101" s="2" t="s">
        <v>65</v>
      </c>
      <c r="I2101" s="2" t="s">
        <v>5162</v>
      </c>
      <c r="J2101" s="3" t="str">
        <f>HYPERLINK("https://www.boe.es/gazeta/dias/1819/06/19/pdfs/GMD-1819-74.pdf#page=5","Abrir facsímil")</f>
        <v>Abrir facsímil</v>
      </c>
      <c r="K2101" s="3" t="s">
        <v>67</v>
      </c>
    </row>
    <row r="2102" spans="1:11" ht="42" customHeight="1">
      <c r="A2102" s="2" t="s">
        <v>5159</v>
      </c>
      <c r="B2102" s="2" t="s">
        <v>5160</v>
      </c>
      <c r="C2102" s="2" t="s">
        <v>80</v>
      </c>
      <c r="D2102" s="2" t="s">
        <v>81</v>
      </c>
      <c r="E2102" s="5">
        <v>-29397</v>
      </c>
      <c r="F2102" s="3" t="s">
        <v>599</v>
      </c>
      <c r="G2102" s="3" t="s">
        <v>296</v>
      </c>
      <c r="H2102" s="2" t="s">
        <v>65</v>
      </c>
      <c r="I2102" s="2" t="s">
        <v>5163</v>
      </c>
      <c r="J2102" s="3" t="str">
        <f>HYPERLINK("https://www.boe.es/gazeta/dias/1819/07/06/pdfs/GMD-1819-81.pdf#page=4","Abrir facsímil")</f>
        <v>Abrir facsímil</v>
      </c>
      <c r="K2102" s="3" t="s">
        <v>67</v>
      </c>
    </row>
    <row r="2103" spans="1:11" ht="42" customHeight="1">
      <c r="A2103" s="2" t="s">
        <v>5164</v>
      </c>
      <c r="B2103" s="2" t="s">
        <v>5165</v>
      </c>
      <c r="C2103" s="2" t="s">
        <v>17</v>
      </c>
      <c r="D2103" s="2" t="s">
        <v>18</v>
      </c>
      <c r="E2103" s="5">
        <v>-29260</v>
      </c>
      <c r="F2103" s="3" t="s">
        <v>93</v>
      </c>
      <c r="G2103" s="3" t="s">
        <v>33</v>
      </c>
      <c r="H2103" s="2" t="s">
        <v>65</v>
      </c>
      <c r="I2103" s="2" t="s">
        <v>5166</v>
      </c>
      <c r="J2103" s="3" t="str">
        <f>HYPERLINK("https://www.boe.es/gazeta/dias/1819/11/20/pdfs/GMD-1819-143.pdf#page=6","Abrir facsímil")</f>
        <v>Abrir facsímil</v>
      </c>
      <c r="K2103" s="3" t="s">
        <v>67</v>
      </c>
    </row>
    <row r="2104" spans="1:11" ht="42" customHeight="1">
      <c r="A2104" s="2" t="s">
        <v>5164</v>
      </c>
      <c r="B2104" s="2" t="s">
        <v>5165</v>
      </c>
      <c r="C2104" s="2" t="s">
        <v>26</v>
      </c>
      <c r="D2104" s="2" t="s">
        <v>18</v>
      </c>
      <c r="E2104" s="5">
        <v>-29241</v>
      </c>
      <c r="F2104" s="3" t="s">
        <v>1382</v>
      </c>
      <c r="G2104" s="3" t="s">
        <v>33</v>
      </c>
      <c r="H2104" s="2" t="s">
        <v>65</v>
      </c>
      <c r="I2104" s="2" t="s">
        <v>5167</v>
      </c>
      <c r="J2104" s="3" t="str">
        <f>HYPERLINK("https://www.boe.es/gazeta/dias/1819/12/09/pdfs/GMD-1819-151.pdf#page=6","Abrir facsímil")</f>
        <v>Abrir facsímil</v>
      </c>
      <c r="K2104" s="3" t="s">
        <v>67</v>
      </c>
    </row>
    <row r="2105" spans="1:11" ht="42" customHeight="1">
      <c r="A2105" s="2" t="s">
        <v>5168</v>
      </c>
      <c r="B2105" s="2" t="s">
        <v>5169</v>
      </c>
      <c r="C2105" s="2" t="s">
        <v>17</v>
      </c>
      <c r="D2105" s="2" t="s">
        <v>18</v>
      </c>
      <c r="E2105" s="5">
        <v>-29260</v>
      </c>
      <c r="F2105" s="3" t="s">
        <v>93</v>
      </c>
      <c r="G2105" s="3" t="s">
        <v>33</v>
      </c>
      <c r="H2105" s="2" t="s">
        <v>65</v>
      </c>
      <c r="I2105" s="2" t="s">
        <v>5170</v>
      </c>
      <c r="J2105" s="3" t="str">
        <f>HYPERLINK("https://www.boe.es/gazeta/dias/1819/11/20/pdfs/GMD-1819-143.pdf#page=6","Abrir facsímil")</f>
        <v>Abrir facsímil</v>
      </c>
      <c r="K2105" s="3" t="s">
        <v>67</v>
      </c>
    </row>
    <row r="2106" spans="1:11" ht="42" customHeight="1">
      <c r="A2106" s="2" t="s">
        <v>5168</v>
      </c>
      <c r="B2106" s="2" t="s">
        <v>5169</v>
      </c>
      <c r="C2106" s="2" t="s">
        <v>26</v>
      </c>
      <c r="D2106" s="2" t="s">
        <v>18</v>
      </c>
      <c r="E2106" s="5">
        <v>-29241</v>
      </c>
      <c r="F2106" s="3" t="s">
        <v>1382</v>
      </c>
      <c r="G2106" s="3" t="s">
        <v>33</v>
      </c>
      <c r="H2106" s="2" t="s">
        <v>65</v>
      </c>
      <c r="I2106" s="2" t="s">
        <v>5171</v>
      </c>
      <c r="J2106" s="3" t="str">
        <f>HYPERLINK("https://www.boe.es/gazeta/dias/1819/12/09/pdfs/GMD-1819-151.pdf#page=6","Abrir facsímil")</f>
        <v>Abrir facsímil</v>
      </c>
      <c r="K2106" s="3" t="s">
        <v>67</v>
      </c>
    </row>
    <row r="2107" spans="1:11" ht="42" customHeight="1">
      <c r="A2107" s="2" t="s">
        <v>5172</v>
      </c>
      <c r="B2107" s="2" t="s">
        <v>5173</v>
      </c>
      <c r="C2107" s="2" t="s">
        <v>63</v>
      </c>
      <c r="D2107" s="2" t="s">
        <v>43</v>
      </c>
      <c r="E2107" s="5">
        <v>-29442</v>
      </c>
      <c r="F2107" s="3" t="s">
        <v>427</v>
      </c>
      <c r="G2107" s="3" t="s">
        <v>28</v>
      </c>
      <c r="H2107" s="2" t="s">
        <v>65</v>
      </c>
      <c r="I2107" s="2" t="s">
        <v>5174</v>
      </c>
      <c r="J2107" s="3" t="str">
        <f>HYPERLINK("https://www.boe.es/gazeta/dias/1819/05/22/pdfs/GMD-1819-61.pdf#page=8","Abrir facsímil")</f>
        <v>Abrir facsímil</v>
      </c>
      <c r="K2107" s="3" t="s">
        <v>67</v>
      </c>
    </row>
    <row r="2108" spans="1:11" ht="42" customHeight="1">
      <c r="A2108" s="2" t="s">
        <v>5175</v>
      </c>
      <c r="B2108" s="2" t="s">
        <v>5176</v>
      </c>
      <c r="C2108" s="2" t="s">
        <v>246</v>
      </c>
      <c r="D2108" s="2" t="s">
        <v>18</v>
      </c>
      <c r="E2108" s="5">
        <v>-29414</v>
      </c>
      <c r="F2108" s="3" t="s">
        <v>732</v>
      </c>
      <c r="G2108" s="3" t="s">
        <v>28</v>
      </c>
      <c r="H2108" s="2" t="s">
        <v>65</v>
      </c>
      <c r="I2108" s="2" t="s">
        <v>5177</v>
      </c>
      <c r="J2108" s="3" t="str">
        <f>HYPERLINK("https://www.boe.es/gazeta/dias/1819/06/19/pdfs/GMD-1819-74.pdf#page=8","Abrir facsímil")</f>
        <v>Abrir facsímil</v>
      </c>
      <c r="K2108" s="3" t="s">
        <v>67</v>
      </c>
    </row>
    <row r="2109" spans="1:11" ht="42" customHeight="1">
      <c r="A2109" s="2" t="s">
        <v>5175</v>
      </c>
      <c r="B2109" s="2" t="s">
        <v>5176</v>
      </c>
      <c r="C2109" s="2" t="s">
        <v>246</v>
      </c>
      <c r="D2109" s="2" t="s">
        <v>18</v>
      </c>
      <c r="E2109" s="5">
        <v>-29332</v>
      </c>
      <c r="F2109" s="3" t="s">
        <v>499</v>
      </c>
      <c r="G2109" s="3" t="s">
        <v>28</v>
      </c>
      <c r="H2109" s="2" t="s">
        <v>65</v>
      </c>
      <c r="I2109" s="2" t="s">
        <v>5178</v>
      </c>
      <c r="J2109" s="3" t="str">
        <f>HYPERLINK("https://www.boe.es/gazeta/dias/1819/09/09/pdfs/GMD-1819-110.pdf#page=8","Abrir facsímil")</f>
        <v>Abrir facsímil</v>
      </c>
      <c r="K2109" s="3" t="s">
        <v>67</v>
      </c>
    </row>
    <row r="2110" spans="1:11" ht="42" customHeight="1">
      <c r="A2110" s="2" t="s">
        <v>5179</v>
      </c>
      <c r="B2110" s="2" t="s">
        <v>5180</v>
      </c>
      <c r="C2110" s="2" t="s">
        <v>80</v>
      </c>
      <c r="D2110" s="2" t="s">
        <v>81</v>
      </c>
      <c r="E2110" s="5">
        <v>-29369</v>
      </c>
      <c r="F2110" s="3" t="s">
        <v>231</v>
      </c>
      <c r="G2110" s="3" t="s">
        <v>296</v>
      </c>
      <c r="H2110" s="2" t="s">
        <v>65</v>
      </c>
      <c r="I2110" s="2" t="s">
        <v>5181</v>
      </c>
      <c r="J2110" s="3" t="str">
        <f>HYPERLINK("https://www.boe.es/gazeta/dias/1819/08/03/pdfs/GMD-1819-93.pdf#page=4","Abrir facsímil")</f>
        <v>Abrir facsímil</v>
      </c>
      <c r="K2110" s="3" t="s">
        <v>67</v>
      </c>
    </row>
    <row r="2111" spans="1:11" ht="42" customHeight="1">
      <c r="A2111" s="2" t="s">
        <v>5182</v>
      </c>
      <c r="B2111" s="2" t="s">
        <v>5182</v>
      </c>
      <c r="C2111" s="2" t="s">
        <v>59</v>
      </c>
      <c r="D2111" s="2" t="s">
        <v>18</v>
      </c>
      <c r="E2111" s="5">
        <v>-29521</v>
      </c>
      <c r="F2111" s="3" t="s">
        <v>1002</v>
      </c>
      <c r="G2111" s="3" t="s">
        <v>259</v>
      </c>
      <c r="H2111" s="2" t="s">
        <v>65</v>
      </c>
      <c r="I2111" s="2" t="s">
        <v>5183</v>
      </c>
      <c r="J2111" s="3" t="str">
        <f>HYPERLINK("https://www.boe.es/gazeta/dias/1819/03/04/pdfs/GMD-1819-27.pdf#page=2","Abrir facsímil")</f>
        <v>Abrir facsímil</v>
      </c>
      <c r="K2111" s="3" t="s">
        <v>67</v>
      </c>
    </row>
    <row r="2112" spans="1:11" ht="42" customHeight="1">
      <c r="A2112" s="2" t="s">
        <v>5182</v>
      </c>
      <c r="B2112" s="2" t="s">
        <v>5182</v>
      </c>
      <c r="C2112" s="2" t="s">
        <v>246</v>
      </c>
      <c r="D2112" s="2" t="s">
        <v>18</v>
      </c>
      <c r="E2112" s="5">
        <v>-29386</v>
      </c>
      <c r="F2112" s="3" t="s">
        <v>568</v>
      </c>
      <c r="G2112" s="3" t="s">
        <v>102</v>
      </c>
      <c r="H2112" s="2" t="s">
        <v>65</v>
      </c>
      <c r="I2112" s="2" t="s">
        <v>5184</v>
      </c>
      <c r="J2112" s="3" t="str">
        <f>HYPERLINK("https://www.boe.es/gazeta/dias/1819/07/17/pdfs/GMD-1819-86.pdf#page=3","Abrir facsímil")</f>
        <v>Abrir facsímil</v>
      </c>
      <c r="K2112" s="3" t="s">
        <v>67</v>
      </c>
    </row>
    <row r="2113" spans="1:11" ht="42" customHeight="1">
      <c r="A2113" s="2" t="s">
        <v>5185</v>
      </c>
      <c r="B2113" s="2" t="s">
        <v>5186</v>
      </c>
      <c r="C2113" s="2" t="s">
        <v>59</v>
      </c>
      <c r="D2113" s="2" t="s">
        <v>18</v>
      </c>
      <c r="E2113" s="5">
        <v>-29292</v>
      </c>
      <c r="F2113" s="3" t="s">
        <v>875</v>
      </c>
      <c r="G2113" s="3" t="s">
        <v>28</v>
      </c>
      <c r="H2113" s="2" t="s">
        <v>65</v>
      </c>
      <c r="I2113" s="2" t="s">
        <v>5187</v>
      </c>
      <c r="J2113" s="3" t="str">
        <f>HYPERLINK("https://www.boe.es/gazeta/dias/1819/10/19/pdfs/GMD-1819-128.pdf#page=8","Abrir facsímil")</f>
        <v>Abrir facsímil</v>
      </c>
      <c r="K2113" s="3" t="s">
        <v>67</v>
      </c>
    </row>
    <row r="2114" spans="1:11" ht="42" customHeight="1">
      <c r="A2114" s="2" t="s">
        <v>5188</v>
      </c>
      <c r="B2114" s="2" t="s">
        <v>5189</v>
      </c>
      <c r="C2114" s="2" t="s">
        <v>80</v>
      </c>
      <c r="D2114" s="2" t="s">
        <v>81</v>
      </c>
      <c r="E2114" s="5">
        <v>-29444</v>
      </c>
      <c r="F2114" s="3" t="s">
        <v>258</v>
      </c>
      <c r="G2114" s="3" t="s">
        <v>55</v>
      </c>
      <c r="H2114" s="2" t="s">
        <v>65</v>
      </c>
      <c r="I2114" s="2" t="s">
        <v>5190</v>
      </c>
      <c r="J2114" s="3" t="str">
        <f>HYPERLINK("https://www.boe.es/gazeta/dias/1819/05/20/pdfs/GMD-1819-60.pdf#page=7","Abrir facsímil")</f>
        <v>Abrir facsímil</v>
      </c>
      <c r="K2114" s="3" t="s">
        <v>67</v>
      </c>
    </row>
    <row r="2115" spans="1:11" ht="42" customHeight="1">
      <c r="A2115" s="2" t="s">
        <v>5191</v>
      </c>
      <c r="B2115" s="2" t="s">
        <v>5192</v>
      </c>
      <c r="C2115" s="2" t="s">
        <v>63</v>
      </c>
      <c r="D2115" s="2" t="s">
        <v>43</v>
      </c>
      <c r="E2115" s="5">
        <v>-29281</v>
      </c>
      <c r="F2115" s="3" t="s">
        <v>19</v>
      </c>
      <c r="G2115" s="3" t="s">
        <v>456</v>
      </c>
      <c r="H2115" s="2" t="s">
        <v>21</v>
      </c>
      <c r="I2115" s="2" t="s">
        <v>5193</v>
      </c>
      <c r="J2115" s="3" t="str">
        <f>HYPERLINK("https://www.boe.es/gazeta/dias/1819/10/30/pdfs/GMD-1819-134.pdf#page=9","Abrir facsímil")</f>
        <v>Abrir facsímil</v>
      </c>
      <c r="K2115" s="3" t="s">
        <v>23</v>
      </c>
    </row>
    <row r="2116" spans="1:11" ht="42" customHeight="1">
      <c r="A2116" s="2" t="s">
        <v>5194</v>
      </c>
      <c r="B2116" s="2" t="s">
        <v>5195</v>
      </c>
      <c r="C2116" s="2" t="s">
        <v>59</v>
      </c>
      <c r="D2116" s="2" t="s">
        <v>18</v>
      </c>
      <c r="E2116" s="5">
        <v>-29290</v>
      </c>
      <c r="F2116" s="3" t="s">
        <v>622</v>
      </c>
      <c r="G2116" s="3" t="s">
        <v>55</v>
      </c>
      <c r="H2116" s="2" t="s">
        <v>65</v>
      </c>
      <c r="I2116" s="2" t="s">
        <v>5196</v>
      </c>
      <c r="J2116" s="3" t="str">
        <f>HYPERLINK("https://www.boe.es/gazeta/dias/1819/10/21/pdfs/GMD-1819-129.pdf#page=7","Abrir facsímil")</f>
        <v>Abrir facsímil</v>
      </c>
      <c r="K2116" s="3" t="s">
        <v>67</v>
      </c>
    </row>
    <row r="2117" spans="1:11" ht="42" customHeight="1">
      <c r="A2117" s="2" t="s">
        <v>5197</v>
      </c>
      <c r="B2117" s="2" t="s">
        <v>5198</v>
      </c>
      <c r="C2117" s="2" t="s">
        <v>59</v>
      </c>
      <c r="D2117" s="2" t="s">
        <v>18</v>
      </c>
      <c r="E2117" s="5">
        <v>-29311</v>
      </c>
      <c r="F2117" s="3" t="s">
        <v>678</v>
      </c>
      <c r="G2117" s="3" t="s">
        <v>55</v>
      </c>
      <c r="H2117" s="2" t="s">
        <v>65</v>
      </c>
      <c r="I2117" s="2" t="s">
        <v>5199</v>
      </c>
      <c r="J2117" s="3" t="str">
        <f>HYPERLINK("https://www.boe.es/gazeta/dias/1819/09/30/pdfs/GMD-1819-120.pdf#page=7","Abrir facsímil")</f>
        <v>Abrir facsímil</v>
      </c>
      <c r="K2117" s="3" t="s">
        <v>67</v>
      </c>
    </row>
    <row r="2118" spans="1:11" ht="42" customHeight="1">
      <c r="A2118" s="2" t="s">
        <v>5200</v>
      </c>
      <c r="B2118" s="2" t="s">
        <v>5200</v>
      </c>
      <c r="C2118" s="2" t="s">
        <v>59</v>
      </c>
      <c r="D2118" s="2" t="s">
        <v>18</v>
      </c>
      <c r="E2118" s="5">
        <v>-29474</v>
      </c>
      <c r="F2118" s="3" t="s">
        <v>216</v>
      </c>
      <c r="G2118" s="3" t="s">
        <v>38</v>
      </c>
      <c r="H2118" s="2" t="s">
        <v>65</v>
      </c>
      <c r="I2118" s="2" t="s">
        <v>5201</v>
      </c>
      <c r="J2118" s="3" t="str">
        <f>HYPERLINK("https://www.boe.es/gazeta/dias/1819/04/20/pdfs/GMD-1819-47.pdf#page=5","Abrir facsímil")</f>
        <v>Abrir facsímil</v>
      </c>
      <c r="K2118" s="3" t="s">
        <v>67</v>
      </c>
    </row>
    <row r="2119" spans="1:11" ht="42" customHeight="1">
      <c r="A2119" s="2" t="s">
        <v>5200</v>
      </c>
      <c r="B2119" s="2" t="s">
        <v>5200</v>
      </c>
      <c r="C2119" s="2" t="s">
        <v>80</v>
      </c>
      <c r="D2119" s="2" t="s">
        <v>81</v>
      </c>
      <c r="E2119" s="5">
        <v>-29400</v>
      </c>
      <c r="F2119" s="3" t="s">
        <v>2181</v>
      </c>
      <c r="G2119" s="3" t="s">
        <v>4142</v>
      </c>
      <c r="H2119" s="2" t="s">
        <v>65</v>
      </c>
      <c r="I2119" s="2" t="s">
        <v>5202</v>
      </c>
      <c r="J2119" s="3" t="str">
        <f>HYPERLINK("https://www.boe.es/gazeta/dias/1819/07/03/pdfs/GMD-1819-80.pdf#page=4","Abrir facsímil")</f>
        <v>Abrir facsímil</v>
      </c>
      <c r="K2119" s="3" t="s">
        <v>67</v>
      </c>
    </row>
    <row r="2120" spans="1:11" ht="42" customHeight="1">
      <c r="A2120" s="2" t="s">
        <v>5203</v>
      </c>
      <c r="B2120" s="2" t="s">
        <v>5204</v>
      </c>
      <c r="C2120" s="2" t="s">
        <v>80</v>
      </c>
      <c r="D2120" s="2" t="s">
        <v>81</v>
      </c>
      <c r="E2120" s="5">
        <v>-29472</v>
      </c>
      <c r="F2120" s="3" t="s">
        <v>393</v>
      </c>
      <c r="G2120" s="3" t="s">
        <v>296</v>
      </c>
      <c r="H2120" s="2" t="s">
        <v>65</v>
      </c>
      <c r="I2120" s="2" t="s">
        <v>5205</v>
      </c>
      <c r="J2120" s="3" t="str">
        <f>HYPERLINK("https://www.boe.es/gazeta/dias/1819/04/22/pdfs/GMD-1819-48.pdf#page=4","Abrir facsímil")</f>
        <v>Abrir facsímil</v>
      </c>
      <c r="K2120" s="3" t="s">
        <v>67</v>
      </c>
    </row>
    <row r="2121" spans="1:11" ht="42" customHeight="1">
      <c r="A2121" s="2" t="s">
        <v>5206</v>
      </c>
      <c r="B2121" s="2" t="s">
        <v>5207</v>
      </c>
      <c r="C2121" s="2" t="s">
        <v>80</v>
      </c>
      <c r="D2121" s="2" t="s">
        <v>81</v>
      </c>
      <c r="E2121" s="5">
        <v>-29514</v>
      </c>
      <c r="F2121" s="3" t="s">
        <v>595</v>
      </c>
      <c r="G2121" s="3" t="s">
        <v>55</v>
      </c>
      <c r="H2121" s="2" t="s">
        <v>65</v>
      </c>
      <c r="I2121" s="2" t="s">
        <v>5208</v>
      </c>
      <c r="J2121" s="3" t="str">
        <f>HYPERLINK("https://www.boe.es/gazeta/dias/1819/03/11/pdfs/GMD-1819-30.pdf#page=7","Abrir facsímil")</f>
        <v>Abrir facsímil</v>
      </c>
      <c r="K2121" s="3" t="s">
        <v>67</v>
      </c>
    </row>
    <row r="2122" spans="1:11" ht="42" customHeight="1">
      <c r="A2122" s="2" t="s">
        <v>5209</v>
      </c>
      <c r="B2122" s="2" t="s">
        <v>5210</v>
      </c>
      <c r="C2122" s="2" t="s">
        <v>80</v>
      </c>
      <c r="D2122" s="2" t="s">
        <v>81</v>
      </c>
      <c r="E2122" s="5">
        <v>-29582</v>
      </c>
      <c r="F2122" s="3" t="s">
        <v>376</v>
      </c>
      <c r="G2122" s="3" t="s">
        <v>38</v>
      </c>
      <c r="H2122" s="2" t="s">
        <v>65</v>
      </c>
      <c r="I2122" s="2" t="s">
        <v>5211</v>
      </c>
      <c r="J2122" s="3" t="str">
        <f>HYPERLINK("https://www.boe.es/gazeta/dias/1819/01/02/pdfs/GMD-1819-1.pdf#page=5","Abrir facsímil")</f>
        <v>Abrir facsímil</v>
      </c>
      <c r="K2122" s="3" t="s">
        <v>67</v>
      </c>
    </row>
    <row r="2123" spans="1:11" ht="42" customHeight="1">
      <c r="A2123" s="2" t="s">
        <v>5212</v>
      </c>
      <c r="B2123" s="2" t="s">
        <v>5213</v>
      </c>
      <c r="C2123" s="2" t="s">
        <v>136</v>
      </c>
      <c r="D2123" s="2" t="s">
        <v>18</v>
      </c>
      <c r="E2123" s="5">
        <v>-29320</v>
      </c>
      <c r="F2123" s="3" t="s">
        <v>690</v>
      </c>
      <c r="G2123" s="3" t="s">
        <v>28</v>
      </c>
      <c r="H2123" s="2" t="s">
        <v>65</v>
      </c>
      <c r="I2123" s="2" t="s">
        <v>5214</v>
      </c>
      <c r="J2123" s="3" t="str">
        <f>HYPERLINK("https://www.boe.es/gazeta/dias/1819/09/21/pdfs/GMD-1819-116.pdf#page=8","Abrir facsímil")</f>
        <v>Abrir facsímil</v>
      </c>
      <c r="K2123" s="3" t="s">
        <v>67</v>
      </c>
    </row>
    <row r="2124" spans="1:11" ht="42" customHeight="1">
      <c r="A2124" s="2" t="s">
        <v>5215</v>
      </c>
      <c r="B2124" s="2" t="s">
        <v>5216</v>
      </c>
      <c r="C2124" s="2" t="s">
        <v>63</v>
      </c>
      <c r="D2124" s="2" t="s">
        <v>43</v>
      </c>
      <c r="E2124" s="5">
        <v>-29281</v>
      </c>
      <c r="F2124" s="3" t="s">
        <v>19</v>
      </c>
      <c r="G2124" s="3" t="s">
        <v>20</v>
      </c>
      <c r="H2124" s="2" t="s">
        <v>65</v>
      </c>
      <c r="I2124" s="2" t="s">
        <v>5217</v>
      </c>
      <c r="J2124" s="3" t="str">
        <f>HYPERLINK("https://www.boe.es/gazeta/dias/1819/10/30/pdfs/GMD-1819-134.pdf#page=10","Abrir facsímil")</f>
        <v>Abrir facsímil</v>
      </c>
      <c r="K2124" s="3" t="s">
        <v>67</v>
      </c>
    </row>
    <row r="2125" spans="1:11" ht="42" customHeight="1">
      <c r="A2125" s="2" t="s">
        <v>5218</v>
      </c>
      <c r="B2125" s="2" t="s">
        <v>5219</v>
      </c>
      <c r="C2125" s="2" t="s">
        <v>136</v>
      </c>
      <c r="D2125" s="2" t="s">
        <v>18</v>
      </c>
      <c r="E2125" s="5">
        <v>-29528</v>
      </c>
      <c r="F2125" s="3" t="s">
        <v>708</v>
      </c>
      <c r="G2125" s="3" t="s">
        <v>55</v>
      </c>
      <c r="H2125" s="2" t="s">
        <v>65</v>
      </c>
      <c r="I2125" s="2" t="s">
        <v>5220</v>
      </c>
      <c r="J2125" s="3" t="str">
        <f>HYPERLINK("https://www.boe.es/gazeta/dias/1819/02/25/pdfs/GMD-1819-24.pdf#page=7","Abrir facsímil")</f>
        <v>Abrir facsímil</v>
      </c>
      <c r="K2125" s="3" t="s">
        <v>67</v>
      </c>
    </row>
    <row r="2126" spans="1:11" ht="42" customHeight="1">
      <c r="A2126" s="2" t="s">
        <v>5221</v>
      </c>
      <c r="B2126" s="2" t="s">
        <v>5222</v>
      </c>
      <c r="C2126" s="2" t="s">
        <v>63</v>
      </c>
      <c r="D2126" s="2" t="s">
        <v>43</v>
      </c>
      <c r="E2126" s="5">
        <v>-29435</v>
      </c>
      <c r="F2126" s="3" t="s">
        <v>191</v>
      </c>
      <c r="G2126" s="3" t="s">
        <v>33</v>
      </c>
      <c r="H2126" s="2" t="s">
        <v>65</v>
      </c>
      <c r="I2126" s="2" t="s">
        <v>5223</v>
      </c>
      <c r="J2126" s="3" t="str">
        <f>HYPERLINK("https://www.boe.es/gazeta/dias/1819/05/29/pdfs/GMD-1819-64.pdf#page=6","Abrir facsímil")</f>
        <v>Abrir facsímil</v>
      </c>
      <c r="K2126" s="3" t="s">
        <v>67</v>
      </c>
    </row>
    <row r="2127" spans="1:11" ht="42" customHeight="1">
      <c r="A2127" s="2" t="s">
        <v>5224</v>
      </c>
      <c r="B2127" s="2" t="s">
        <v>5225</v>
      </c>
      <c r="C2127" s="2" t="s">
        <v>59</v>
      </c>
      <c r="D2127" s="2" t="s">
        <v>18</v>
      </c>
      <c r="E2127" s="5">
        <v>-29358</v>
      </c>
      <c r="F2127" s="3" t="s">
        <v>170</v>
      </c>
      <c r="G2127" s="3" t="s">
        <v>38</v>
      </c>
      <c r="H2127" s="2" t="s">
        <v>65</v>
      </c>
      <c r="I2127" s="2" t="s">
        <v>5226</v>
      </c>
      <c r="J2127" s="3" t="str">
        <f>HYPERLINK("https://www.boe.es/gazeta/dias/1819/08/14/pdfs/GMD-1819-98.pdf#page=5","Abrir facsímil")</f>
        <v>Abrir facsímil</v>
      </c>
      <c r="K2127" s="3" t="s">
        <v>67</v>
      </c>
    </row>
    <row r="2128" spans="1:11" ht="42" customHeight="1">
      <c r="A2128" s="2" t="s">
        <v>5227</v>
      </c>
      <c r="B2128" s="2" t="s">
        <v>5228</v>
      </c>
      <c r="C2128" s="2" t="s">
        <v>63</v>
      </c>
      <c r="D2128" s="2" t="s">
        <v>43</v>
      </c>
      <c r="E2128" s="5">
        <v>-29248</v>
      </c>
      <c r="F2128" s="3" t="s">
        <v>395</v>
      </c>
      <c r="G2128" s="3" t="s">
        <v>28</v>
      </c>
      <c r="H2128" s="2" t="s">
        <v>65</v>
      </c>
      <c r="I2128" s="2" t="s">
        <v>5229</v>
      </c>
      <c r="J2128" s="3" t="str">
        <f>HYPERLINK("https://www.boe.es/gazeta/dias/1819/12/02/pdfs/GMD-1819-148.pdf#page=8","Abrir facsímil")</f>
        <v>Abrir facsímil</v>
      </c>
      <c r="K2128" s="3" t="s">
        <v>67</v>
      </c>
    </row>
    <row r="2129" spans="1:11" ht="42" customHeight="1">
      <c r="A2129" s="2" t="s">
        <v>5230</v>
      </c>
      <c r="B2129" s="2" t="s">
        <v>5231</v>
      </c>
      <c r="C2129" s="2" t="s">
        <v>17</v>
      </c>
      <c r="D2129" s="2" t="s">
        <v>18</v>
      </c>
      <c r="E2129" s="5">
        <v>-29537</v>
      </c>
      <c r="F2129" s="3" t="s">
        <v>593</v>
      </c>
      <c r="G2129" s="3" t="s">
        <v>138</v>
      </c>
      <c r="H2129" s="2" t="s">
        <v>21</v>
      </c>
      <c r="I2129" s="2" t="s">
        <v>5232</v>
      </c>
      <c r="J2129" s="3" t="str">
        <f>HYPERLINK("https://www.boe.es/gazeta/dias/1819/02/16/pdfs/GMD-1819-20.pdf#page=12","Abrir facsímil")</f>
        <v>Abrir facsímil</v>
      </c>
      <c r="K2129" s="3" t="s">
        <v>23</v>
      </c>
    </row>
    <row r="2130" spans="1:11" ht="42" customHeight="1">
      <c r="A2130" s="2" t="s">
        <v>5233</v>
      </c>
      <c r="B2130" s="2" t="s">
        <v>5234</v>
      </c>
      <c r="C2130" s="2" t="s">
        <v>26</v>
      </c>
      <c r="D2130" s="2" t="s">
        <v>18</v>
      </c>
      <c r="E2130" s="5">
        <v>-29407</v>
      </c>
      <c r="F2130" s="3" t="s">
        <v>64</v>
      </c>
      <c r="G2130" s="3" t="s">
        <v>38</v>
      </c>
      <c r="H2130" s="2" t="s">
        <v>65</v>
      </c>
      <c r="I2130" s="2" t="s">
        <v>5235</v>
      </c>
      <c r="J2130" s="3" t="str">
        <f>HYPERLINK("https://www.boe.es/gazeta/dias/1819/06/26/pdfs/GMD-1819-77.pdf#page=5","Abrir facsímil")</f>
        <v>Abrir facsímil</v>
      </c>
      <c r="K2130" s="3" t="s">
        <v>67</v>
      </c>
    </row>
    <row r="2131" spans="1:11" ht="42" customHeight="1">
      <c r="A2131" s="2" t="s">
        <v>5236</v>
      </c>
      <c r="B2131" s="2" t="s">
        <v>5237</v>
      </c>
      <c r="C2131" s="2" t="s">
        <v>136</v>
      </c>
      <c r="D2131" s="2" t="s">
        <v>18</v>
      </c>
      <c r="E2131" s="5">
        <v>-29519</v>
      </c>
      <c r="F2131" s="3" t="s">
        <v>142</v>
      </c>
      <c r="G2131" s="3" t="s">
        <v>28</v>
      </c>
      <c r="H2131" s="2" t="s">
        <v>65</v>
      </c>
      <c r="I2131" s="2" t="s">
        <v>5238</v>
      </c>
      <c r="J2131" s="3" t="str">
        <f>HYPERLINK("https://www.boe.es/gazeta/dias/1819/03/06/pdfs/GMD-1819-28.pdf#page=8","Abrir facsímil")</f>
        <v>Abrir facsímil</v>
      </c>
      <c r="K2131" s="3" t="s">
        <v>67</v>
      </c>
    </row>
    <row r="2132" spans="1:11" ht="42" customHeight="1">
      <c r="A2132" s="2" t="s">
        <v>5239</v>
      </c>
      <c r="B2132" s="2" t="s">
        <v>5239</v>
      </c>
      <c r="C2132" s="2" t="s">
        <v>63</v>
      </c>
      <c r="D2132" s="2" t="s">
        <v>43</v>
      </c>
      <c r="E2132" s="5">
        <v>-29495</v>
      </c>
      <c r="F2132" s="3" t="s">
        <v>992</v>
      </c>
      <c r="G2132" s="3" t="s">
        <v>993</v>
      </c>
      <c r="H2132" s="2" t="s">
        <v>65</v>
      </c>
      <c r="I2132" s="2" t="s">
        <v>5240</v>
      </c>
      <c r="J2132" s="3" t="str">
        <f>HYPERLINK("https://www.boe.es/gazeta/dias/1819/03/30/pdfs/GMD-1819-38.pdf#page=12","Abrir facsímil")</f>
        <v>Abrir facsímil</v>
      </c>
      <c r="K2132" s="3" t="s">
        <v>67</v>
      </c>
    </row>
    <row r="2133" spans="1:11" ht="42" customHeight="1">
      <c r="A2133" s="2" t="s">
        <v>5239</v>
      </c>
      <c r="B2133" s="2" t="s">
        <v>5239</v>
      </c>
      <c r="C2133" s="2" t="s">
        <v>17</v>
      </c>
      <c r="D2133" s="2" t="s">
        <v>18</v>
      </c>
      <c r="E2133" s="5">
        <v>-29271</v>
      </c>
      <c r="F2133" s="3" t="s">
        <v>32</v>
      </c>
      <c r="G2133" s="3" t="s">
        <v>33</v>
      </c>
      <c r="H2133" s="2" t="s">
        <v>65</v>
      </c>
      <c r="I2133" s="2" t="s">
        <v>5241</v>
      </c>
      <c r="J2133" s="3" t="str">
        <f>HYPERLINK("https://www.boe.es/gazeta/dias/1819/11/09/pdfs/GMD-1819-138.pdf#page=6","Abrir facsímil")</f>
        <v>Abrir facsímil</v>
      </c>
      <c r="K2133" s="3" t="s">
        <v>67</v>
      </c>
    </row>
    <row r="2134" spans="1:11" ht="42" customHeight="1">
      <c r="A2134" s="2" t="s">
        <v>5242</v>
      </c>
      <c r="B2134" s="2" t="s">
        <v>5243</v>
      </c>
      <c r="C2134" s="2" t="s">
        <v>80</v>
      </c>
      <c r="D2134" s="2" t="s">
        <v>81</v>
      </c>
      <c r="E2134" s="5">
        <v>-29446</v>
      </c>
      <c r="F2134" s="3" t="s">
        <v>773</v>
      </c>
      <c r="G2134" s="3" t="s">
        <v>239</v>
      </c>
      <c r="H2134" s="2" t="s">
        <v>65</v>
      </c>
      <c r="I2134" s="2" t="s">
        <v>5244</v>
      </c>
      <c r="J2134" s="3" t="str">
        <f>HYPERLINK("https://www.boe.es/gazeta/dias/1819/05/18/pdfs/GMD-1819-59.pdf#page=1","Abrir facsímil")</f>
        <v>Abrir facsímil</v>
      </c>
      <c r="K2134" s="3" t="s">
        <v>67</v>
      </c>
    </row>
    <row r="2135" spans="1:11" ht="42" customHeight="1">
      <c r="A2135" s="2" t="s">
        <v>5245</v>
      </c>
      <c r="B2135" s="2" t="s">
        <v>5246</v>
      </c>
      <c r="C2135" s="2" t="s">
        <v>80</v>
      </c>
      <c r="D2135" s="2" t="s">
        <v>81</v>
      </c>
      <c r="E2135" s="5">
        <v>-29260</v>
      </c>
      <c r="F2135" s="3" t="s">
        <v>93</v>
      </c>
      <c r="G2135" s="3" t="s">
        <v>1275</v>
      </c>
      <c r="H2135" s="2" t="s">
        <v>65</v>
      </c>
      <c r="I2135" s="2" t="s">
        <v>5247</v>
      </c>
      <c r="J2135" s="3" t="str">
        <f>HYPERLINK("https://www.boe.es/gazeta/dias/1819/11/20/pdfs/GMD-1819-143.pdf#page=10","Abrir facsímil")</f>
        <v>Abrir facsímil</v>
      </c>
      <c r="K2135" s="3" t="s">
        <v>67</v>
      </c>
    </row>
    <row r="2136" spans="1:11" ht="42" customHeight="1">
      <c r="A2136" s="2" t="s">
        <v>5248</v>
      </c>
      <c r="B2136" s="2" t="s">
        <v>5249</v>
      </c>
      <c r="C2136" s="2" t="s">
        <v>80</v>
      </c>
      <c r="D2136" s="2" t="s">
        <v>454</v>
      </c>
      <c r="E2136" s="5">
        <v>-29287</v>
      </c>
      <c r="F2136" s="3" t="s">
        <v>455</v>
      </c>
      <c r="G2136" s="3" t="s">
        <v>1113</v>
      </c>
      <c r="H2136" s="2" t="s">
        <v>65</v>
      </c>
      <c r="I2136" s="2" t="s">
        <v>5250</v>
      </c>
      <c r="J2136" s="3" t="str">
        <f>HYPERLINK("https://www.boe.es/gazeta/dias/1819/10/24/pdfs/GMD-1819-131E.pdf#page=7","Abrir facsímil")</f>
        <v>Abrir facsímil</v>
      </c>
      <c r="K2136" s="3" t="s">
        <v>67</v>
      </c>
    </row>
    <row r="2137" spans="1:11" ht="42" customHeight="1">
      <c r="A2137" s="2" t="s">
        <v>5251</v>
      </c>
      <c r="B2137" s="2" t="s">
        <v>5251</v>
      </c>
      <c r="C2137" s="2" t="s">
        <v>136</v>
      </c>
      <c r="D2137" s="2" t="s">
        <v>18</v>
      </c>
      <c r="E2137" s="5">
        <v>-29568</v>
      </c>
      <c r="F2137" s="3" t="s">
        <v>966</v>
      </c>
      <c r="G2137" s="3" t="s">
        <v>102</v>
      </c>
      <c r="H2137" s="2" t="s">
        <v>65</v>
      </c>
      <c r="I2137" s="2" t="s">
        <v>5252</v>
      </c>
      <c r="J2137" s="3" t="str">
        <f>HYPERLINK("https://www.boe.es/gazeta/dias/1819/01/16/pdfs/GMD-1819-7.pdf#page=3","Abrir facsímil")</f>
        <v>Abrir facsímil</v>
      </c>
      <c r="K2137" s="3" t="s">
        <v>67</v>
      </c>
    </row>
    <row r="2138" spans="1:11" ht="42" customHeight="1">
      <c r="A2138" s="2" t="s">
        <v>5253</v>
      </c>
      <c r="B2138" s="2" t="s">
        <v>5254</v>
      </c>
      <c r="C2138" s="2" t="s">
        <v>63</v>
      </c>
      <c r="D2138" s="2" t="s">
        <v>43</v>
      </c>
      <c r="E2138" s="5">
        <v>-29472</v>
      </c>
      <c r="F2138" s="3" t="s">
        <v>393</v>
      </c>
      <c r="G2138" s="3" t="s">
        <v>55</v>
      </c>
      <c r="H2138" s="2" t="s">
        <v>21</v>
      </c>
      <c r="I2138" s="2" t="s">
        <v>5255</v>
      </c>
      <c r="J2138" s="3" t="str">
        <f>HYPERLINK("https://www.boe.es/gazeta/dias/1819/04/22/pdfs/GMD-1819-48.pdf#page=7","Abrir facsímil")</f>
        <v>Abrir facsímil</v>
      </c>
      <c r="K2138" s="3" t="s">
        <v>23</v>
      </c>
    </row>
    <row r="2139" spans="1:11" ht="42" customHeight="1">
      <c r="A2139" s="2" t="s">
        <v>5256</v>
      </c>
      <c r="B2139" s="2" t="s">
        <v>5257</v>
      </c>
      <c r="C2139" s="2" t="s">
        <v>17</v>
      </c>
      <c r="D2139" s="2" t="s">
        <v>18</v>
      </c>
      <c r="E2139" s="5">
        <v>-29320</v>
      </c>
      <c r="F2139" s="3" t="s">
        <v>690</v>
      </c>
      <c r="G2139" s="3" t="s">
        <v>55</v>
      </c>
      <c r="H2139" s="2" t="s">
        <v>21</v>
      </c>
      <c r="I2139" s="2" t="s">
        <v>5258</v>
      </c>
      <c r="J2139" s="3" t="str">
        <f>HYPERLINK("https://www.boe.es/gazeta/dias/1819/09/21/pdfs/GMD-1819-116.pdf#page=7","Abrir facsímil")</f>
        <v>Abrir facsímil</v>
      </c>
      <c r="K2139" s="3" t="s">
        <v>23</v>
      </c>
    </row>
    <row r="2140" spans="1:11" ht="42" customHeight="1">
      <c r="A2140" s="2" t="s">
        <v>5259</v>
      </c>
      <c r="B2140" s="2" t="s">
        <v>5260</v>
      </c>
      <c r="C2140" s="2" t="s">
        <v>63</v>
      </c>
      <c r="D2140" s="2" t="s">
        <v>43</v>
      </c>
      <c r="E2140" s="5">
        <v>-29255</v>
      </c>
      <c r="F2140" s="3" t="s">
        <v>357</v>
      </c>
      <c r="G2140" s="3" t="s">
        <v>5261</v>
      </c>
      <c r="H2140" s="2" t="s">
        <v>21</v>
      </c>
      <c r="I2140" s="2" t="s">
        <v>5262</v>
      </c>
      <c r="J2140" s="3" t="str">
        <f>HYPERLINK("https://www.boe.es/gazeta/dias/1819/11/25/pdfs/GMD-1819-145.pdf#page=7","Abrir facsímil")</f>
        <v>Abrir facsímil</v>
      </c>
      <c r="K2140" s="3" t="s">
        <v>23</v>
      </c>
    </row>
    <row r="2141" spans="1:11" ht="42" customHeight="1">
      <c r="A2141" s="2" t="s">
        <v>5263</v>
      </c>
      <c r="B2141" s="2" t="s">
        <v>5264</v>
      </c>
      <c r="C2141" s="2" t="s">
        <v>59</v>
      </c>
      <c r="D2141" s="2" t="s">
        <v>18</v>
      </c>
      <c r="E2141" s="5">
        <v>-29556</v>
      </c>
      <c r="F2141" s="3" t="s">
        <v>255</v>
      </c>
      <c r="G2141" s="3" t="s">
        <v>28</v>
      </c>
      <c r="H2141" s="2" t="s">
        <v>21</v>
      </c>
      <c r="I2141" s="2" t="s">
        <v>5265</v>
      </c>
      <c r="J2141" s="3" t="str">
        <f>HYPERLINK("https://www.boe.es/gazeta/dias/1819/01/28/pdfs/GMD-1819-12.pdf#page=8","Abrir facsímil")</f>
        <v>Abrir facsímil</v>
      </c>
      <c r="K2141" s="3" t="s">
        <v>23</v>
      </c>
    </row>
    <row r="2142" spans="1:11" ht="42" customHeight="1">
      <c r="A2142" s="2" t="s">
        <v>5263</v>
      </c>
      <c r="B2142" s="2" t="s">
        <v>5264</v>
      </c>
      <c r="C2142" s="2" t="s">
        <v>80</v>
      </c>
      <c r="D2142" s="2" t="s">
        <v>81</v>
      </c>
      <c r="E2142" s="5">
        <v>-29514</v>
      </c>
      <c r="F2142" s="3" t="s">
        <v>595</v>
      </c>
      <c r="G2142" s="3" t="s">
        <v>28</v>
      </c>
      <c r="H2142" s="2" t="s">
        <v>21</v>
      </c>
      <c r="I2142" s="2" t="s">
        <v>5266</v>
      </c>
      <c r="J2142" s="3" t="str">
        <f>HYPERLINK("https://www.boe.es/gazeta/dias/1819/03/11/pdfs/GMD-1819-30.pdf#page=8","Abrir facsímil")</f>
        <v>Abrir facsímil</v>
      </c>
      <c r="K2142" s="3" t="s">
        <v>23</v>
      </c>
    </row>
    <row r="2143" spans="1:11" ht="42" customHeight="1">
      <c r="A2143" s="2" t="s">
        <v>5263</v>
      </c>
      <c r="B2143" s="2" t="s">
        <v>5264</v>
      </c>
      <c r="C2143" s="2" t="s">
        <v>63</v>
      </c>
      <c r="D2143" s="2" t="s">
        <v>43</v>
      </c>
      <c r="E2143" s="5">
        <v>-29430</v>
      </c>
      <c r="F2143" s="3" t="s">
        <v>178</v>
      </c>
      <c r="G2143" s="3" t="s">
        <v>55</v>
      </c>
      <c r="H2143" s="2" t="s">
        <v>21</v>
      </c>
      <c r="I2143" s="2" t="s">
        <v>5267</v>
      </c>
      <c r="J2143" s="3" t="str">
        <f>HYPERLINK("https://www.boe.es/gazeta/dias/1819/06/03/pdfs/GMD-1819-66.pdf#page=7","Abrir facsímil")</f>
        <v>Abrir facsímil</v>
      </c>
      <c r="K2143" s="3" t="s">
        <v>23</v>
      </c>
    </row>
    <row r="2144" spans="1:11" ht="42" customHeight="1">
      <c r="A2144" s="2" t="s">
        <v>5263</v>
      </c>
      <c r="B2144" s="2" t="s">
        <v>5264</v>
      </c>
      <c r="C2144" s="2" t="s">
        <v>246</v>
      </c>
      <c r="D2144" s="2" t="s">
        <v>18</v>
      </c>
      <c r="E2144" s="5">
        <v>-29323</v>
      </c>
      <c r="F2144" s="3" t="s">
        <v>270</v>
      </c>
      <c r="G2144" s="3" t="s">
        <v>28</v>
      </c>
      <c r="H2144" s="2" t="s">
        <v>21</v>
      </c>
      <c r="I2144" s="2" t="s">
        <v>5268</v>
      </c>
      <c r="J2144" s="3" t="str">
        <f>HYPERLINK("https://www.boe.es/gazeta/dias/1819/09/18/pdfs/GMD-1819-115.pdf#page=8","Abrir facsímil")</f>
        <v>Abrir facsímil</v>
      </c>
      <c r="K2144" s="3" t="s">
        <v>23</v>
      </c>
    </row>
    <row r="2145" spans="1:11" ht="42" customHeight="1">
      <c r="A2145" s="2" t="s">
        <v>5263</v>
      </c>
      <c r="B2145" s="2" t="s">
        <v>5264</v>
      </c>
      <c r="C2145" s="2" t="s">
        <v>59</v>
      </c>
      <c r="D2145" s="2" t="s">
        <v>18</v>
      </c>
      <c r="E2145" s="5">
        <v>-29297</v>
      </c>
      <c r="F2145" s="3" t="s">
        <v>82</v>
      </c>
      <c r="G2145" s="3" t="s">
        <v>28</v>
      </c>
      <c r="H2145" s="2" t="s">
        <v>21</v>
      </c>
      <c r="I2145" s="2" t="s">
        <v>5269</v>
      </c>
      <c r="J2145" s="3" t="str">
        <f>HYPERLINK("https://www.boe.es/gazeta/dias/1819/10/14/pdfs/GMD-1819-126.pdf#page=8","Abrir facsímil")</f>
        <v>Abrir facsímil</v>
      </c>
      <c r="K2145" s="3" t="s">
        <v>23</v>
      </c>
    </row>
    <row r="2146" spans="1:11" ht="42" customHeight="1">
      <c r="A2146" s="2" t="s">
        <v>5270</v>
      </c>
      <c r="B2146" s="2" t="s">
        <v>5271</v>
      </c>
      <c r="C2146" s="2" t="s">
        <v>63</v>
      </c>
      <c r="D2146" s="2" t="s">
        <v>43</v>
      </c>
      <c r="E2146" s="5">
        <v>-29283</v>
      </c>
      <c r="F2146" s="3" t="s">
        <v>863</v>
      </c>
      <c r="G2146" s="3" t="s">
        <v>28</v>
      </c>
      <c r="H2146" s="2" t="s">
        <v>21</v>
      </c>
      <c r="I2146" s="2" t="s">
        <v>5272</v>
      </c>
      <c r="J2146" s="3" t="str">
        <f>HYPERLINK("https://www.boe.es/gazeta/dias/1819/10/28/pdfs/GMD-1819-133.pdf#page=8","Abrir facsímil")</f>
        <v>Abrir facsímil</v>
      </c>
      <c r="K2146" s="3" t="s">
        <v>23</v>
      </c>
    </row>
    <row r="2147" spans="1:11" ht="42" customHeight="1">
      <c r="A2147" s="2" t="s">
        <v>5263</v>
      </c>
      <c r="B2147" s="2" t="s">
        <v>5264</v>
      </c>
      <c r="C2147" s="2" t="s">
        <v>63</v>
      </c>
      <c r="D2147" s="2" t="s">
        <v>43</v>
      </c>
      <c r="E2147" s="5">
        <v>-29260</v>
      </c>
      <c r="F2147" s="3" t="s">
        <v>93</v>
      </c>
      <c r="G2147" s="3" t="s">
        <v>138</v>
      </c>
      <c r="H2147" s="2" t="s">
        <v>21</v>
      </c>
      <c r="I2147" s="2" t="s">
        <v>5273</v>
      </c>
      <c r="J2147" s="3" t="str">
        <f>HYPERLINK("https://www.boe.es/gazeta/dias/1819/11/20/pdfs/GMD-1819-143.pdf#page=12","Abrir facsímil")</f>
        <v>Abrir facsímil</v>
      </c>
      <c r="K2147" s="3" t="s">
        <v>23</v>
      </c>
    </row>
    <row r="2148" spans="1:11" ht="42" customHeight="1">
      <c r="A2148" s="2" t="s">
        <v>5274</v>
      </c>
      <c r="B2148" s="2" t="s">
        <v>5275</v>
      </c>
      <c r="C2148" s="2" t="s">
        <v>63</v>
      </c>
      <c r="D2148" s="2" t="s">
        <v>43</v>
      </c>
      <c r="E2148" s="5">
        <v>-29430</v>
      </c>
      <c r="F2148" s="3" t="s">
        <v>178</v>
      </c>
      <c r="G2148" s="3" t="s">
        <v>28</v>
      </c>
      <c r="H2148" s="2" t="s">
        <v>21</v>
      </c>
      <c r="I2148" s="2" t="s">
        <v>5276</v>
      </c>
      <c r="J2148" s="3" t="str">
        <f>HYPERLINK("https://www.boe.es/gazeta/dias/1819/06/03/pdfs/GMD-1819-66.pdf#page=8","Abrir facsímil")</f>
        <v>Abrir facsímil</v>
      </c>
      <c r="K2148" s="3" t="s">
        <v>23</v>
      </c>
    </row>
    <row r="2149" spans="1:11" ht="42" customHeight="1">
      <c r="A2149" s="2" t="s">
        <v>5277</v>
      </c>
      <c r="B2149" s="2" t="s">
        <v>5278</v>
      </c>
      <c r="C2149" s="2" t="s">
        <v>80</v>
      </c>
      <c r="D2149" s="2" t="s">
        <v>81</v>
      </c>
      <c r="E2149" s="5">
        <v>-29250</v>
      </c>
      <c r="F2149" s="3" t="s">
        <v>312</v>
      </c>
      <c r="G2149" s="3" t="s">
        <v>313</v>
      </c>
      <c r="H2149" s="2" t="s">
        <v>65</v>
      </c>
      <c r="I2149" s="2" t="s">
        <v>5279</v>
      </c>
      <c r="J2149" s="3" t="str">
        <f>HYPERLINK("https://www.boe.es/gazeta/dias/1819/11/30/pdfs/GMD-1819-147.pdf#page=8","Abrir facsímil")</f>
        <v>Abrir facsímil</v>
      </c>
      <c r="K2149" s="3" t="s">
        <v>67</v>
      </c>
    </row>
    <row r="2150" spans="1:11" ht="42" customHeight="1">
      <c r="A2150" s="2" t="s">
        <v>5280</v>
      </c>
      <c r="B2150" s="2" t="s">
        <v>5280</v>
      </c>
      <c r="C2150" s="2" t="s">
        <v>80</v>
      </c>
      <c r="D2150" s="2" t="s">
        <v>81</v>
      </c>
      <c r="E2150" s="5">
        <v>-29311</v>
      </c>
      <c r="F2150" s="3" t="s">
        <v>678</v>
      </c>
      <c r="G2150" s="3" t="s">
        <v>259</v>
      </c>
      <c r="H2150" s="2" t="s">
        <v>65</v>
      </c>
      <c r="I2150" s="2" t="s">
        <v>5281</v>
      </c>
      <c r="J2150" s="3" t="str">
        <f>HYPERLINK("https://www.boe.es/gazeta/dias/1819/09/30/pdfs/GMD-1819-120.pdf#page=2","Abrir facsímil")</f>
        <v>Abrir facsímil</v>
      </c>
      <c r="K2150" s="3" t="s">
        <v>67</v>
      </c>
    </row>
    <row r="2151" spans="1:11" ht="42" customHeight="1">
      <c r="A2151" s="2" t="s">
        <v>5282</v>
      </c>
      <c r="B2151" s="2" t="s">
        <v>5282</v>
      </c>
      <c r="C2151" s="2" t="s">
        <v>80</v>
      </c>
      <c r="D2151" s="2" t="s">
        <v>81</v>
      </c>
      <c r="E2151" s="5">
        <v>-29456</v>
      </c>
      <c r="F2151" s="3" t="s">
        <v>468</v>
      </c>
      <c r="G2151" s="3" t="s">
        <v>239</v>
      </c>
      <c r="H2151" s="2" t="s">
        <v>65</v>
      </c>
      <c r="I2151" s="2" t="s">
        <v>5283</v>
      </c>
      <c r="J2151" s="3" t="str">
        <f>HYPERLINK("https://www.boe.es/gazeta/dias/1819/05/08/pdfs/GMD-1819-55.pdf#page=1","Abrir facsímil")</f>
        <v>Abrir facsímil</v>
      </c>
      <c r="K2151" s="3" t="s">
        <v>67</v>
      </c>
    </row>
    <row r="2152" spans="1:11" ht="42" customHeight="1">
      <c r="A2152" s="2" t="s">
        <v>5282</v>
      </c>
      <c r="B2152" s="2" t="s">
        <v>5282</v>
      </c>
      <c r="C2152" s="2" t="s">
        <v>80</v>
      </c>
      <c r="D2152" s="2" t="s">
        <v>81</v>
      </c>
      <c r="E2152" s="5">
        <v>-29456</v>
      </c>
      <c r="F2152" s="3" t="s">
        <v>468</v>
      </c>
      <c r="G2152" s="3" t="s">
        <v>259</v>
      </c>
      <c r="H2152" s="2" t="s">
        <v>65</v>
      </c>
      <c r="I2152" s="2" t="s">
        <v>5284</v>
      </c>
      <c r="J2152" s="3" t="str">
        <f>HYPERLINK("https://www.boe.es/gazeta/dias/1819/05/08/pdfs/GMD-1819-55.pdf#page=2","Abrir facsímil")</f>
        <v>Abrir facsímil</v>
      </c>
      <c r="K2152" s="3" t="s">
        <v>67</v>
      </c>
    </row>
    <row r="2153" spans="1:11" ht="42" customHeight="1">
      <c r="A2153" s="2" t="s">
        <v>5285</v>
      </c>
      <c r="B2153" s="2" t="s">
        <v>5286</v>
      </c>
      <c r="C2153" s="2" t="s">
        <v>59</v>
      </c>
      <c r="D2153" s="2" t="s">
        <v>18</v>
      </c>
      <c r="E2153" s="5">
        <v>-29271</v>
      </c>
      <c r="F2153" s="3" t="s">
        <v>32</v>
      </c>
      <c r="G2153" s="3" t="s">
        <v>33</v>
      </c>
      <c r="H2153" s="2" t="s">
        <v>21</v>
      </c>
      <c r="I2153" s="2" t="s">
        <v>5287</v>
      </c>
      <c r="J2153" s="3" t="str">
        <f>HYPERLINK("https://www.boe.es/gazeta/dias/1819/11/09/pdfs/GMD-1819-138.pdf#page=6","Abrir facsímil")</f>
        <v>Abrir facsímil</v>
      </c>
      <c r="K2153" s="3" t="s">
        <v>23</v>
      </c>
    </row>
    <row r="2154" spans="1:11" ht="42" customHeight="1">
      <c r="A2154" s="2" t="s">
        <v>5288</v>
      </c>
      <c r="B2154" s="2" t="s">
        <v>5289</v>
      </c>
      <c r="C2154" s="2" t="s">
        <v>59</v>
      </c>
      <c r="D2154" s="2" t="s">
        <v>18</v>
      </c>
      <c r="E2154" s="5">
        <v>-29572</v>
      </c>
      <c r="F2154" s="3" t="s">
        <v>589</v>
      </c>
      <c r="G2154" s="3" t="s">
        <v>590</v>
      </c>
      <c r="H2154" s="2" t="s">
        <v>65</v>
      </c>
      <c r="I2154" s="2" t="s">
        <v>5290</v>
      </c>
      <c r="J2154" s="3" t="str">
        <f>HYPERLINK("https://www.boe.es/gazeta/dias/1819/01/12/pdfs/GMD-1819-5.pdf#page=8","Abrir facsímil")</f>
        <v>Abrir facsímil</v>
      </c>
      <c r="K2154" s="3" t="s">
        <v>67</v>
      </c>
    </row>
    <row r="2155" spans="1:11" ht="42" customHeight="1">
      <c r="A2155" s="2" t="s">
        <v>5291</v>
      </c>
      <c r="B2155" s="2" t="s">
        <v>5291</v>
      </c>
      <c r="C2155" s="2" t="s">
        <v>80</v>
      </c>
      <c r="D2155" s="2" t="s">
        <v>81</v>
      </c>
      <c r="E2155" s="5">
        <v>-29353</v>
      </c>
      <c r="F2155" s="3" t="s">
        <v>867</v>
      </c>
      <c r="G2155" s="3" t="s">
        <v>55</v>
      </c>
      <c r="H2155" s="2" t="s">
        <v>65</v>
      </c>
      <c r="I2155" s="2" t="s">
        <v>5292</v>
      </c>
      <c r="J2155" s="3" t="str">
        <f>HYPERLINK("https://www.boe.es/gazeta/dias/1819/08/19/pdfs/GMD-1819-100.pdf#page=7","Abrir facsímil")</f>
        <v>Abrir facsímil</v>
      </c>
      <c r="K2155" s="3" t="s">
        <v>67</v>
      </c>
    </row>
    <row r="2156" spans="1:11" ht="42" customHeight="1">
      <c r="A2156" s="2" t="s">
        <v>5293</v>
      </c>
      <c r="B2156" s="2" t="s">
        <v>5294</v>
      </c>
      <c r="C2156" s="2" t="s">
        <v>80</v>
      </c>
      <c r="D2156" s="2" t="s">
        <v>81</v>
      </c>
      <c r="E2156" s="5">
        <v>-29353</v>
      </c>
      <c r="F2156" s="3" t="s">
        <v>867</v>
      </c>
      <c r="G2156" s="3" t="s">
        <v>55</v>
      </c>
      <c r="H2156" s="2" t="s">
        <v>65</v>
      </c>
      <c r="I2156" s="2" t="s">
        <v>5295</v>
      </c>
      <c r="J2156" s="3" t="str">
        <f>HYPERLINK("https://www.boe.es/gazeta/dias/1819/08/19/pdfs/GMD-1819-100.pdf#page=7","Abrir facsímil")</f>
        <v>Abrir facsímil</v>
      </c>
      <c r="K2156" s="3" t="s">
        <v>67</v>
      </c>
    </row>
    <row r="2157" spans="1:11" ht="42" customHeight="1">
      <c r="A2157" s="2" t="s">
        <v>5296</v>
      </c>
      <c r="B2157" s="2" t="s">
        <v>5297</v>
      </c>
      <c r="C2157" s="2" t="s">
        <v>80</v>
      </c>
      <c r="D2157" s="2" t="s">
        <v>81</v>
      </c>
      <c r="E2157" s="5">
        <v>-29327</v>
      </c>
      <c r="F2157" s="3" t="s">
        <v>620</v>
      </c>
      <c r="G2157" s="3" t="s">
        <v>38</v>
      </c>
      <c r="H2157" s="2" t="s">
        <v>65</v>
      </c>
      <c r="I2157" s="2" t="s">
        <v>5298</v>
      </c>
      <c r="J2157" s="3" t="str">
        <f>HYPERLINK("https://www.boe.es/gazeta/dias/1819/09/14/pdfs/GMD-1819-112.pdf#page=5","Abrir facsímil")</f>
        <v>Abrir facsímil</v>
      </c>
      <c r="K2157" s="3" t="s">
        <v>67</v>
      </c>
    </row>
    <row r="2158" spans="1:11" ht="42" customHeight="1">
      <c r="A2158" s="2" t="s">
        <v>5299</v>
      </c>
      <c r="B2158" s="2" t="s">
        <v>5300</v>
      </c>
      <c r="C2158" s="2" t="s">
        <v>59</v>
      </c>
      <c r="D2158" s="2" t="s">
        <v>18</v>
      </c>
      <c r="E2158" s="5">
        <v>-29493</v>
      </c>
      <c r="F2158" s="3" t="s">
        <v>404</v>
      </c>
      <c r="G2158" s="3" t="s">
        <v>55</v>
      </c>
      <c r="H2158" s="2" t="s">
        <v>65</v>
      </c>
      <c r="I2158" s="2" t="s">
        <v>5301</v>
      </c>
      <c r="J2158" s="3" t="str">
        <f>HYPERLINK("https://www.boe.es/gazeta/dias/1819/04/01/pdfs/GMD-1819-39.pdf#page=7","Abrir facsímil")</f>
        <v>Abrir facsímil</v>
      </c>
      <c r="K2158" s="3" t="s">
        <v>67</v>
      </c>
    </row>
    <row r="2159" spans="1:11" ht="42" customHeight="1">
      <c r="A2159" s="2" t="s">
        <v>5302</v>
      </c>
      <c r="B2159" s="2" t="s">
        <v>5303</v>
      </c>
      <c r="C2159" s="2" t="s">
        <v>59</v>
      </c>
      <c r="D2159" s="2" t="s">
        <v>18</v>
      </c>
      <c r="E2159" s="5">
        <v>-29292</v>
      </c>
      <c r="F2159" s="3" t="s">
        <v>875</v>
      </c>
      <c r="G2159" s="3" t="s">
        <v>28</v>
      </c>
      <c r="H2159" s="2" t="s">
        <v>65</v>
      </c>
      <c r="I2159" s="2" t="s">
        <v>5304</v>
      </c>
      <c r="J2159" s="3" t="str">
        <f>HYPERLINK("https://www.boe.es/gazeta/dias/1819/10/19/pdfs/GMD-1819-128.pdf#page=8","Abrir facsímil")</f>
        <v>Abrir facsímil</v>
      </c>
      <c r="K2159" s="3" t="s">
        <v>67</v>
      </c>
    </row>
    <row r="2160" spans="1:11" ht="42" customHeight="1">
      <c r="A2160" s="2" t="s">
        <v>5305</v>
      </c>
      <c r="B2160" s="2" t="s">
        <v>5306</v>
      </c>
      <c r="C2160" s="2" t="s">
        <v>80</v>
      </c>
      <c r="D2160" s="2" t="s">
        <v>81</v>
      </c>
      <c r="E2160" s="5">
        <v>-29269</v>
      </c>
      <c r="F2160" s="3" t="s">
        <v>565</v>
      </c>
      <c r="G2160" s="3" t="s">
        <v>296</v>
      </c>
      <c r="H2160" s="2" t="s">
        <v>65</v>
      </c>
      <c r="I2160" s="2" t="s">
        <v>5307</v>
      </c>
      <c r="J2160" s="3" t="str">
        <f>HYPERLINK("https://www.boe.es/gazeta/dias/1819/11/11/pdfs/GMD-1819-139.pdf#page=4","Abrir facsímil")</f>
        <v>Abrir facsímil</v>
      </c>
      <c r="K2160" s="3" t="s">
        <v>67</v>
      </c>
    </row>
    <row r="2161" spans="1:11" ht="42" customHeight="1">
      <c r="A2161" s="2" t="s">
        <v>5308</v>
      </c>
      <c r="B2161" s="2" t="s">
        <v>5309</v>
      </c>
      <c r="C2161" s="2" t="s">
        <v>63</v>
      </c>
      <c r="D2161" s="2" t="s">
        <v>43</v>
      </c>
      <c r="E2161" s="5">
        <v>-29334</v>
      </c>
      <c r="F2161" s="3" t="s">
        <v>3082</v>
      </c>
      <c r="G2161" s="3" t="s">
        <v>28</v>
      </c>
      <c r="H2161" s="2" t="s">
        <v>65</v>
      </c>
      <c r="I2161" s="2" t="s">
        <v>5310</v>
      </c>
      <c r="J2161" s="3" t="str">
        <f>HYPERLINK("https://www.boe.es/gazeta/dias/1819/09/07/pdfs/GMD-1819-109.pdf#page=8","Abrir facsímil")</f>
        <v>Abrir facsímil</v>
      </c>
      <c r="K2161" s="3" t="s">
        <v>67</v>
      </c>
    </row>
    <row r="2162" spans="1:11" ht="42" customHeight="1">
      <c r="A2162" s="2" t="s">
        <v>5311</v>
      </c>
      <c r="B2162" s="2" t="s">
        <v>5311</v>
      </c>
      <c r="C2162" s="2" t="s">
        <v>59</v>
      </c>
      <c r="D2162" s="2" t="s">
        <v>18</v>
      </c>
      <c r="E2162" s="5">
        <v>-29383</v>
      </c>
      <c r="F2162" s="3" t="s">
        <v>631</v>
      </c>
      <c r="G2162" s="3" t="s">
        <v>5312</v>
      </c>
      <c r="H2162" s="2" t="s">
        <v>65</v>
      </c>
      <c r="I2162" s="2" t="s">
        <v>5313</v>
      </c>
      <c r="J2162" s="3" t="str">
        <f>HYPERLINK("https://www.boe.es/gazeta/dias/1819/07/20/pdfs/GMD-1819-87.pdf#page=4","Abrir facsímil")</f>
        <v>Abrir facsímil</v>
      </c>
      <c r="K2162" s="3" t="s">
        <v>67</v>
      </c>
    </row>
    <row r="2163" spans="1:11" ht="42" customHeight="1">
      <c r="A2163" s="2" t="s">
        <v>5314</v>
      </c>
      <c r="B2163" s="2" t="s">
        <v>5315</v>
      </c>
      <c r="C2163" s="2" t="s">
        <v>136</v>
      </c>
      <c r="D2163" s="2" t="s">
        <v>18</v>
      </c>
      <c r="E2163" s="5">
        <v>-29540</v>
      </c>
      <c r="F2163" s="3" t="s">
        <v>154</v>
      </c>
      <c r="G2163" s="3" t="s">
        <v>55</v>
      </c>
      <c r="H2163" s="2" t="s">
        <v>65</v>
      </c>
      <c r="I2163" s="2" t="s">
        <v>5316</v>
      </c>
      <c r="J2163" s="3" t="str">
        <f>HYPERLINK("https://www.boe.es/gazeta/dias/1819/02/13/pdfs/GMD-1819-19.pdf#page=7","Abrir facsímil")</f>
        <v>Abrir facsímil</v>
      </c>
      <c r="K2163" s="3" t="s">
        <v>67</v>
      </c>
    </row>
    <row r="2164" spans="1:11" ht="42" customHeight="1">
      <c r="A2164" s="2" t="s">
        <v>5317</v>
      </c>
      <c r="B2164" s="2" t="s">
        <v>5318</v>
      </c>
      <c r="C2164" s="2" t="s">
        <v>80</v>
      </c>
      <c r="D2164" s="2" t="s">
        <v>81</v>
      </c>
      <c r="E2164" s="5">
        <v>-29264</v>
      </c>
      <c r="F2164" s="3" t="s">
        <v>37</v>
      </c>
      <c r="G2164" s="3" t="s">
        <v>1794</v>
      </c>
      <c r="H2164" s="2" t="s">
        <v>65</v>
      </c>
      <c r="I2164" s="2" t="s">
        <v>5319</v>
      </c>
      <c r="J2164" s="3" t="str">
        <f>HYPERLINK("https://www.boe.es/gazeta/dias/1819/11/16/pdfs/GMD-1819-141.pdf#page=11","Abrir facsímil")</f>
        <v>Abrir facsímil</v>
      </c>
      <c r="K2164" s="3" t="s">
        <v>67</v>
      </c>
    </row>
    <row r="2165" spans="1:11" ht="42" customHeight="1">
      <c r="A2165" s="2" t="s">
        <v>5320</v>
      </c>
      <c r="B2165" s="2" t="s">
        <v>5321</v>
      </c>
      <c r="C2165" s="2" t="s">
        <v>63</v>
      </c>
      <c r="D2165" s="2" t="s">
        <v>43</v>
      </c>
      <c r="E2165" s="5">
        <v>-29495</v>
      </c>
      <c r="F2165" s="3" t="s">
        <v>992</v>
      </c>
      <c r="G2165" s="3" t="s">
        <v>993</v>
      </c>
      <c r="H2165" s="2" t="s">
        <v>65</v>
      </c>
      <c r="I2165" s="2" t="s">
        <v>5322</v>
      </c>
      <c r="J2165" s="3" t="str">
        <f>HYPERLINK("https://www.boe.es/gazeta/dias/1819/03/30/pdfs/GMD-1819-38.pdf#page=12","Abrir facsímil")</f>
        <v>Abrir facsímil</v>
      </c>
      <c r="K2165" s="3" t="s">
        <v>67</v>
      </c>
    </row>
    <row r="2166" spans="1:11" ht="42" customHeight="1">
      <c r="A2166" s="2" t="s">
        <v>5320</v>
      </c>
      <c r="B2166" s="2" t="s">
        <v>5321</v>
      </c>
      <c r="C2166" s="2" t="s">
        <v>136</v>
      </c>
      <c r="D2166" s="2" t="s">
        <v>18</v>
      </c>
      <c r="E2166" s="5">
        <v>-29376</v>
      </c>
      <c r="F2166" s="3" t="s">
        <v>332</v>
      </c>
      <c r="G2166" s="3" t="s">
        <v>28</v>
      </c>
      <c r="H2166" s="2" t="s">
        <v>65</v>
      </c>
      <c r="I2166" s="2" t="s">
        <v>5323</v>
      </c>
      <c r="J2166" s="3" t="str">
        <f>HYPERLINK("https://www.boe.es/gazeta/dias/1819/07/27/pdfs/GMD-1819-90.pdf#page=8","Abrir facsímil")</f>
        <v>Abrir facsímil</v>
      </c>
      <c r="K2166" s="3" t="s">
        <v>67</v>
      </c>
    </row>
    <row r="2167" spans="1:11" ht="42" customHeight="1">
      <c r="A2167" s="2" t="s">
        <v>5324</v>
      </c>
      <c r="B2167" s="2" t="s">
        <v>5325</v>
      </c>
      <c r="C2167" s="2" t="s">
        <v>59</v>
      </c>
      <c r="D2167" s="2" t="s">
        <v>18</v>
      </c>
      <c r="E2167" s="5">
        <v>-29292</v>
      </c>
      <c r="F2167" s="3" t="s">
        <v>875</v>
      </c>
      <c r="G2167" s="3" t="s">
        <v>28</v>
      </c>
      <c r="H2167" s="2" t="s">
        <v>65</v>
      </c>
      <c r="I2167" s="2" t="s">
        <v>5326</v>
      </c>
      <c r="J2167" s="3" t="str">
        <f>HYPERLINK("https://www.boe.es/gazeta/dias/1819/10/19/pdfs/GMD-1819-128.pdf#page=8","Abrir facsímil")</f>
        <v>Abrir facsímil</v>
      </c>
      <c r="K2167" s="3" t="s">
        <v>67</v>
      </c>
    </row>
    <row r="2168" spans="1:11" ht="42" customHeight="1">
      <c r="A2168" s="2" t="s">
        <v>5327</v>
      </c>
      <c r="B2168" s="2" t="s">
        <v>5328</v>
      </c>
      <c r="C2168" s="2" t="s">
        <v>80</v>
      </c>
      <c r="D2168" s="2" t="s">
        <v>81</v>
      </c>
      <c r="E2168" s="5">
        <v>-29456</v>
      </c>
      <c r="F2168" s="3" t="s">
        <v>468</v>
      </c>
      <c r="G2168" s="3" t="s">
        <v>55</v>
      </c>
      <c r="H2168" s="2" t="s">
        <v>21</v>
      </c>
      <c r="I2168" s="2" t="s">
        <v>5329</v>
      </c>
      <c r="J2168" s="3" t="str">
        <f>HYPERLINK("https://www.boe.es/gazeta/dias/1819/05/08/pdfs/GMD-1819-55.pdf#page=7","Abrir facsímil")</f>
        <v>Abrir facsímil</v>
      </c>
      <c r="K2168" s="3" t="s">
        <v>23</v>
      </c>
    </row>
    <row r="2169" spans="1:11" ht="42" customHeight="1">
      <c r="A2169" s="2" t="s">
        <v>5330</v>
      </c>
      <c r="B2169" s="2" t="s">
        <v>5331</v>
      </c>
      <c r="C2169" s="2" t="s">
        <v>136</v>
      </c>
      <c r="D2169" s="2" t="s">
        <v>18</v>
      </c>
      <c r="E2169" s="5">
        <v>-29229</v>
      </c>
      <c r="F2169" s="3" t="s">
        <v>44</v>
      </c>
      <c r="G2169" s="3" t="s">
        <v>28</v>
      </c>
      <c r="H2169" s="2" t="s">
        <v>65</v>
      </c>
      <c r="I2169" s="2" t="s">
        <v>5332</v>
      </c>
      <c r="J2169" s="3" t="str">
        <f>HYPERLINK("https://www.boe.es/gazeta/dias/1819/12/21/pdfs/GMD-1819-156.pdf#page=8","Abrir facsímil")</f>
        <v>Abrir facsímil</v>
      </c>
      <c r="K2169" s="3" t="s">
        <v>67</v>
      </c>
    </row>
    <row r="2170" spans="1:11" ht="42" customHeight="1">
      <c r="A2170" s="2" t="s">
        <v>5333</v>
      </c>
      <c r="B2170" s="2" t="s">
        <v>5334</v>
      </c>
      <c r="C2170" s="2" t="s">
        <v>80</v>
      </c>
      <c r="D2170" s="2" t="s">
        <v>81</v>
      </c>
      <c r="E2170" s="5">
        <v>-29530</v>
      </c>
      <c r="F2170" s="3" t="s">
        <v>202</v>
      </c>
      <c r="G2170" s="3" t="s">
        <v>456</v>
      </c>
      <c r="H2170" s="2" t="s">
        <v>65</v>
      </c>
      <c r="I2170" s="2" t="s">
        <v>5335</v>
      </c>
      <c r="J2170" s="3" t="str">
        <f>HYPERLINK("https://www.boe.es/gazeta/dias/1819/02/23/pdfs/GMD-1819-23.pdf#page=9","Abrir facsímil")</f>
        <v>Abrir facsímil</v>
      </c>
      <c r="K2170" s="3" t="s">
        <v>67</v>
      </c>
    </row>
    <row r="2171" spans="1:11" ht="42" customHeight="1">
      <c r="A2171" s="2" t="s">
        <v>5336</v>
      </c>
      <c r="B2171" s="2" t="s">
        <v>5337</v>
      </c>
      <c r="C2171" s="2" t="s">
        <v>80</v>
      </c>
      <c r="D2171" s="2" t="s">
        <v>81</v>
      </c>
      <c r="E2171" s="5">
        <v>-29439</v>
      </c>
      <c r="F2171" s="3" t="s">
        <v>1101</v>
      </c>
      <c r="G2171" s="3" t="s">
        <v>38</v>
      </c>
      <c r="H2171" s="2" t="s">
        <v>65</v>
      </c>
      <c r="I2171" s="2" t="s">
        <v>5338</v>
      </c>
      <c r="J2171" s="3" t="str">
        <f>HYPERLINK("https://www.boe.es/gazeta/dias/1819/05/25/pdfs/GMD-1819-62.pdf#page=5","Abrir facsímil")</f>
        <v>Abrir facsímil</v>
      </c>
      <c r="K2171" s="3" t="s">
        <v>67</v>
      </c>
    </row>
    <row r="2172" spans="1:11" ht="42" customHeight="1">
      <c r="A2172" s="2" t="s">
        <v>5339</v>
      </c>
      <c r="B2172" s="2" t="s">
        <v>5340</v>
      </c>
      <c r="C2172" s="2" t="s">
        <v>80</v>
      </c>
      <c r="D2172" s="2" t="s">
        <v>81</v>
      </c>
      <c r="E2172" s="5">
        <v>-29442</v>
      </c>
      <c r="F2172" s="3" t="s">
        <v>427</v>
      </c>
      <c r="G2172" s="3" t="s">
        <v>33</v>
      </c>
      <c r="H2172" s="2" t="s">
        <v>65</v>
      </c>
      <c r="I2172" s="2" t="s">
        <v>5341</v>
      </c>
      <c r="J2172" s="3" t="str">
        <f>HYPERLINK("https://www.boe.es/gazeta/dias/1819/05/22/pdfs/GMD-1819-61.pdf#page=6","Abrir facsímil")</f>
        <v>Abrir facsímil</v>
      </c>
      <c r="K2172" s="3" t="s">
        <v>67</v>
      </c>
    </row>
    <row r="2173" spans="1:11" ht="42" customHeight="1">
      <c r="A2173" s="2" t="s">
        <v>5342</v>
      </c>
      <c r="B2173" s="2" t="s">
        <v>5343</v>
      </c>
      <c r="C2173" s="2" t="s">
        <v>26</v>
      </c>
      <c r="D2173" s="2" t="s">
        <v>18</v>
      </c>
      <c r="E2173" s="5">
        <v>-29241</v>
      </c>
      <c r="F2173" s="3" t="s">
        <v>1382</v>
      </c>
      <c r="G2173" s="3" t="s">
        <v>3247</v>
      </c>
      <c r="H2173" s="2" t="s">
        <v>65</v>
      </c>
      <c r="I2173" s="2" t="s">
        <v>5344</v>
      </c>
      <c r="J2173" s="3" t="str">
        <f>HYPERLINK("https://www.boe.es/gazeta/dias/1819/12/09/pdfs/GMD-1819-151.pdf#page=8","Abrir facsímil")</f>
        <v>Abrir facsímil</v>
      </c>
      <c r="K2173" s="3" t="s">
        <v>67</v>
      </c>
    </row>
    <row r="2174" spans="1:11" ht="42" customHeight="1">
      <c r="A2174" s="2" t="s">
        <v>5345</v>
      </c>
      <c r="B2174" s="2" t="s">
        <v>5346</v>
      </c>
      <c r="C2174" s="2" t="s">
        <v>80</v>
      </c>
      <c r="D2174" s="2" t="s">
        <v>81</v>
      </c>
      <c r="E2174" s="5">
        <v>-29264</v>
      </c>
      <c r="F2174" s="3" t="s">
        <v>37</v>
      </c>
      <c r="G2174" s="3" t="s">
        <v>1794</v>
      </c>
      <c r="H2174" s="2" t="s">
        <v>65</v>
      </c>
      <c r="I2174" s="2" t="s">
        <v>5347</v>
      </c>
      <c r="J2174" s="3" t="str">
        <f>HYPERLINK("https://www.boe.es/gazeta/dias/1819/11/16/pdfs/GMD-1819-141.pdf#page=11","Abrir facsímil")</f>
        <v>Abrir facsímil</v>
      </c>
      <c r="K2174" s="3" t="s">
        <v>67</v>
      </c>
    </row>
    <row r="2175" spans="1:11" ht="42" customHeight="1">
      <c r="A2175" s="2" t="s">
        <v>5348</v>
      </c>
      <c r="B2175" s="2" t="s">
        <v>5349</v>
      </c>
      <c r="C2175" s="2" t="s">
        <v>63</v>
      </c>
      <c r="D2175" s="2" t="s">
        <v>43</v>
      </c>
      <c r="E2175" s="5">
        <v>-29533</v>
      </c>
      <c r="F2175" s="3" t="s">
        <v>280</v>
      </c>
      <c r="G2175" s="3" t="s">
        <v>28</v>
      </c>
      <c r="H2175" s="2" t="s">
        <v>65</v>
      </c>
      <c r="I2175" s="2" t="s">
        <v>5350</v>
      </c>
      <c r="J2175" s="3" t="str">
        <f>HYPERLINK("https://www.boe.es/gazeta/dias/1819/02/20/pdfs/GMD-1819-22.pdf#page=8","Abrir facsímil")</f>
        <v>Abrir facsímil</v>
      </c>
      <c r="K2175" s="3" t="s">
        <v>67</v>
      </c>
    </row>
    <row r="2176" spans="1:11" ht="42" customHeight="1">
      <c r="A2176" s="2" t="s">
        <v>5348</v>
      </c>
      <c r="B2176" s="2" t="s">
        <v>5349</v>
      </c>
      <c r="C2176" s="2" t="s">
        <v>63</v>
      </c>
      <c r="D2176" s="2" t="s">
        <v>43</v>
      </c>
      <c r="E2176" s="5">
        <v>-29229</v>
      </c>
      <c r="F2176" s="3" t="s">
        <v>44</v>
      </c>
      <c r="G2176" s="3" t="s">
        <v>28</v>
      </c>
      <c r="H2176" s="2" t="s">
        <v>65</v>
      </c>
      <c r="I2176" s="2" t="s">
        <v>5351</v>
      </c>
      <c r="J2176" s="3" t="str">
        <f>HYPERLINK("https://www.boe.es/gazeta/dias/1819/12/21/pdfs/GMD-1819-156.pdf#page=8","Abrir facsímil")</f>
        <v>Abrir facsímil</v>
      </c>
      <c r="K2176" s="3" t="s">
        <v>67</v>
      </c>
    </row>
    <row r="2177" spans="1:11" ht="42" customHeight="1">
      <c r="A2177" s="2" t="s">
        <v>5352</v>
      </c>
      <c r="B2177" s="2" t="s">
        <v>5353</v>
      </c>
      <c r="C2177" s="2" t="s">
        <v>80</v>
      </c>
      <c r="D2177" s="2" t="s">
        <v>81</v>
      </c>
      <c r="E2177" s="5">
        <v>-29316</v>
      </c>
      <c r="F2177" s="3" t="s">
        <v>166</v>
      </c>
      <c r="G2177" s="3" t="s">
        <v>296</v>
      </c>
      <c r="H2177" s="2" t="s">
        <v>65</v>
      </c>
      <c r="I2177" s="2" t="s">
        <v>5354</v>
      </c>
      <c r="J2177" s="3" t="str">
        <f>HYPERLINK("https://www.boe.es/gazeta/dias/1819/09/25/pdfs/GMD-1819-118.pdf#page=4","Abrir facsímil")</f>
        <v>Abrir facsímil</v>
      </c>
      <c r="K2177" s="3" t="s">
        <v>67</v>
      </c>
    </row>
    <row r="2178" spans="1:11" ht="42" customHeight="1">
      <c r="A2178" s="2" t="s">
        <v>5355</v>
      </c>
      <c r="B2178" s="2" t="s">
        <v>5356</v>
      </c>
      <c r="C2178" s="2" t="s">
        <v>80</v>
      </c>
      <c r="D2178" s="2" t="s">
        <v>81</v>
      </c>
      <c r="E2178" s="5">
        <v>-29509</v>
      </c>
      <c r="F2178" s="3" t="s">
        <v>942</v>
      </c>
      <c r="G2178" s="3" t="s">
        <v>55</v>
      </c>
      <c r="H2178" s="2" t="s">
        <v>21</v>
      </c>
      <c r="I2178" s="2" t="s">
        <v>5357</v>
      </c>
      <c r="J2178" s="3" t="str">
        <f>HYPERLINK("https://www.boe.es/gazeta/dias/1819/03/16/pdfs/GMD-1819-32.pdf#page=7","Abrir facsímil")</f>
        <v>Abrir facsímil</v>
      </c>
      <c r="K2178" s="3" t="s">
        <v>23</v>
      </c>
    </row>
    <row r="2179" spans="1:11" ht="42" customHeight="1">
      <c r="A2179" s="2" t="s">
        <v>5358</v>
      </c>
      <c r="B2179" s="2" t="s">
        <v>5359</v>
      </c>
      <c r="C2179" s="2" t="s">
        <v>63</v>
      </c>
      <c r="D2179" s="2" t="s">
        <v>43</v>
      </c>
      <c r="E2179" s="5">
        <v>-29570</v>
      </c>
      <c r="F2179" s="3" t="s">
        <v>2008</v>
      </c>
      <c r="G2179" s="3" t="s">
        <v>28</v>
      </c>
      <c r="H2179" s="2" t="s">
        <v>65</v>
      </c>
      <c r="I2179" s="2" t="s">
        <v>5360</v>
      </c>
      <c r="J2179" s="3" t="str">
        <f>HYPERLINK("https://www.boe.es/gazeta/dias/1819/01/14/pdfs/GMD-1819-6.pdf#page=8","Abrir facsímil")</f>
        <v>Abrir facsímil</v>
      </c>
      <c r="K2179" s="3" t="s">
        <v>67</v>
      </c>
    </row>
    <row r="2180" spans="1:11" ht="42" customHeight="1">
      <c r="A2180" s="2" t="s">
        <v>5361</v>
      </c>
      <c r="B2180" s="2" t="s">
        <v>5362</v>
      </c>
      <c r="C2180" s="2" t="s">
        <v>63</v>
      </c>
      <c r="D2180" s="2" t="s">
        <v>43</v>
      </c>
      <c r="E2180" s="5">
        <v>-29519</v>
      </c>
      <c r="F2180" s="3" t="s">
        <v>142</v>
      </c>
      <c r="G2180" s="3" t="s">
        <v>28</v>
      </c>
      <c r="H2180" s="2" t="s">
        <v>65</v>
      </c>
      <c r="I2180" s="2" t="s">
        <v>5363</v>
      </c>
      <c r="J2180" s="3" t="str">
        <f>HYPERLINK("https://www.boe.es/gazeta/dias/1819/03/06/pdfs/GMD-1819-28.pdf#page=8","Abrir facsímil")</f>
        <v>Abrir facsímil</v>
      </c>
      <c r="K2180" s="3" t="s">
        <v>67</v>
      </c>
    </row>
    <row r="2181" spans="1:11" ht="42" customHeight="1">
      <c r="A2181" s="2" t="s">
        <v>5364</v>
      </c>
      <c r="B2181" s="2" t="s">
        <v>5365</v>
      </c>
      <c r="C2181" s="2" t="s">
        <v>63</v>
      </c>
      <c r="D2181" s="2" t="s">
        <v>43</v>
      </c>
      <c r="E2181" s="5">
        <v>-29516</v>
      </c>
      <c r="F2181" s="3" t="s">
        <v>137</v>
      </c>
      <c r="G2181" s="3" t="s">
        <v>138</v>
      </c>
      <c r="H2181" s="2" t="s">
        <v>65</v>
      </c>
      <c r="I2181" s="2" t="s">
        <v>5366</v>
      </c>
      <c r="J2181" s="3" t="str">
        <f>HYPERLINK("https://www.boe.es/gazeta/dias/1819/03/09/pdfs/GMD-1819-29.pdf#page=12","Abrir facsímil")</f>
        <v>Abrir facsímil</v>
      </c>
      <c r="K2181" s="3" t="s">
        <v>67</v>
      </c>
    </row>
    <row r="2182" spans="1:11" ht="42" customHeight="1">
      <c r="A2182" s="2" t="s">
        <v>5364</v>
      </c>
      <c r="B2182" s="2" t="s">
        <v>5365</v>
      </c>
      <c r="C2182" s="2" t="s">
        <v>63</v>
      </c>
      <c r="D2182" s="2" t="s">
        <v>43</v>
      </c>
      <c r="E2182" s="5">
        <v>-29488</v>
      </c>
      <c r="F2182" s="3" t="s">
        <v>27</v>
      </c>
      <c r="G2182" s="3" t="s">
        <v>55</v>
      </c>
      <c r="H2182" s="2" t="s">
        <v>65</v>
      </c>
      <c r="I2182" s="2" t="s">
        <v>5367</v>
      </c>
      <c r="J2182" s="3" t="str">
        <f>HYPERLINK("https://www.boe.es/gazeta/dias/1819/04/06/pdfs/GMD-1819-41.pdf#page=7","Abrir facsímil")</f>
        <v>Abrir facsímil</v>
      </c>
      <c r="K2182" s="3" t="s">
        <v>67</v>
      </c>
    </row>
    <row r="2183" spans="1:11" ht="42" customHeight="1">
      <c r="A2183" s="2" t="s">
        <v>5364</v>
      </c>
      <c r="B2183" s="2" t="s">
        <v>5365</v>
      </c>
      <c r="C2183" s="2" t="s">
        <v>63</v>
      </c>
      <c r="D2183" s="2" t="s">
        <v>43</v>
      </c>
      <c r="E2183" s="5">
        <v>-29446</v>
      </c>
      <c r="F2183" s="3" t="s">
        <v>773</v>
      </c>
      <c r="G2183" s="3" t="s">
        <v>776</v>
      </c>
      <c r="H2183" s="2" t="s">
        <v>65</v>
      </c>
      <c r="I2183" s="2" t="s">
        <v>5368</v>
      </c>
      <c r="J2183" s="3" t="str">
        <f>HYPERLINK("https://www.boe.es/gazeta/dias/1819/05/18/pdfs/GMD-1819-59.pdf#page=7","Abrir facsímil")</f>
        <v>Abrir facsímil</v>
      </c>
      <c r="K2183" s="3" t="s">
        <v>67</v>
      </c>
    </row>
    <row r="2184" spans="1:11" ht="42" customHeight="1">
      <c r="A2184" s="2" t="s">
        <v>5364</v>
      </c>
      <c r="B2184" s="2" t="s">
        <v>5365</v>
      </c>
      <c r="C2184" s="2" t="s">
        <v>80</v>
      </c>
      <c r="D2184" s="2" t="s">
        <v>81</v>
      </c>
      <c r="E2184" s="5">
        <v>-29348</v>
      </c>
      <c r="F2184" s="3" t="s">
        <v>227</v>
      </c>
      <c r="G2184" s="3" t="s">
        <v>28</v>
      </c>
      <c r="H2184" s="2" t="s">
        <v>65</v>
      </c>
      <c r="I2184" s="2" t="s">
        <v>5369</v>
      </c>
      <c r="J2184" s="3" t="str">
        <f>HYPERLINK("https://www.boe.es/gazeta/dias/1819/08/24/pdfs/GMD-1819-102.pdf#page=8","Abrir facsímil")</f>
        <v>Abrir facsímil</v>
      </c>
      <c r="K2184" s="3" t="s">
        <v>67</v>
      </c>
    </row>
    <row r="2185" spans="1:11" ht="42" customHeight="1">
      <c r="A2185" s="2" t="s">
        <v>5364</v>
      </c>
      <c r="B2185" s="2" t="s">
        <v>5365</v>
      </c>
      <c r="C2185" s="2" t="s">
        <v>63</v>
      </c>
      <c r="D2185" s="2" t="s">
        <v>43</v>
      </c>
      <c r="E2185" s="5">
        <v>-29330</v>
      </c>
      <c r="F2185" s="3" t="s">
        <v>1406</v>
      </c>
      <c r="G2185" s="3" t="s">
        <v>28</v>
      </c>
      <c r="H2185" s="2" t="s">
        <v>65</v>
      </c>
      <c r="I2185" s="2" t="s">
        <v>5370</v>
      </c>
      <c r="J2185" s="3" t="str">
        <f>HYPERLINK("https://www.boe.es/gazeta/dias/1819/09/11/pdfs/GMD-1819-111.pdf#page=8","Abrir facsímil")</f>
        <v>Abrir facsímil</v>
      </c>
      <c r="K2185" s="3" t="s">
        <v>67</v>
      </c>
    </row>
    <row r="2186" spans="1:11" ht="42" customHeight="1">
      <c r="A2186" s="2" t="s">
        <v>5364</v>
      </c>
      <c r="B2186" s="2" t="s">
        <v>5365</v>
      </c>
      <c r="C2186" s="2" t="s">
        <v>63</v>
      </c>
      <c r="D2186" s="2" t="s">
        <v>43</v>
      </c>
      <c r="E2186" s="5">
        <v>-29271</v>
      </c>
      <c r="F2186" s="3" t="s">
        <v>32</v>
      </c>
      <c r="G2186" s="3" t="s">
        <v>55</v>
      </c>
      <c r="H2186" s="2" t="s">
        <v>65</v>
      </c>
      <c r="I2186" s="2" t="s">
        <v>5371</v>
      </c>
      <c r="J2186" s="3" t="str">
        <f>HYPERLINK("https://www.boe.es/gazeta/dias/1819/11/09/pdfs/GMD-1819-138.pdf#page=7","Abrir facsímil")</f>
        <v>Abrir facsímil</v>
      </c>
      <c r="K2186" s="3" t="s">
        <v>67</v>
      </c>
    </row>
    <row r="2187" spans="1:11" ht="42" customHeight="1">
      <c r="A2187" s="2" t="s">
        <v>5372</v>
      </c>
      <c r="B2187" s="2" t="s">
        <v>5373</v>
      </c>
      <c r="C2187" s="2" t="s">
        <v>80</v>
      </c>
      <c r="D2187" s="2" t="s">
        <v>81</v>
      </c>
      <c r="E2187" s="5">
        <v>-29274</v>
      </c>
      <c r="F2187" s="3" t="s">
        <v>247</v>
      </c>
      <c r="G2187" s="3" t="s">
        <v>33</v>
      </c>
      <c r="H2187" s="2" t="s">
        <v>65</v>
      </c>
      <c r="I2187" s="2" t="s">
        <v>5374</v>
      </c>
      <c r="J2187" s="3" t="str">
        <f>HYPERLINK("https://www.boe.es/gazeta/dias/1819/11/06/pdfs/GMD-1819-137.pdf#page=6","Abrir facsímil")</f>
        <v>Abrir facsímil</v>
      </c>
      <c r="K2187" s="3" t="s">
        <v>67</v>
      </c>
    </row>
    <row r="2188" spans="1:11" ht="42" customHeight="1">
      <c r="A2188" s="2" t="s">
        <v>5375</v>
      </c>
      <c r="B2188" s="2" t="s">
        <v>5376</v>
      </c>
      <c r="C2188" s="2" t="s">
        <v>80</v>
      </c>
      <c r="D2188" s="2" t="s">
        <v>81</v>
      </c>
      <c r="E2188" s="5">
        <v>-29388</v>
      </c>
      <c r="F2188" s="3" t="s">
        <v>879</v>
      </c>
      <c r="G2188" s="3" t="s">
        <v>2554</v>
      </c>
      <c r="H2188" s="2" t="s">
        <v>65</v>
      </c>
      <c r="I2188" s="2" t="s">
        <v>5377</v>
      </c>
      <c r="J2188" s="3" t="str">
        <f>HYPERLINK("https://www.boe.es/gazeta/dias/1819/07/15/pdfs/GMD-1819-85.pdf#page=6","Abrir facsímil")</f>
        <v>Abrir facsímil</v>
      </c>
      <c r="K2188" s="3" t="s">
        <v>67</v>
      </c>
    </row>
    <row r="2189" spans="1:11" ht="42" customHeight="1">
      <c r="A2189" s="2" t="s">
        <v>5375</v>
      </c>
      <c r="B2189" s="2" t="s">
        <v>5376</v>
      </c>
      <c r="C2189" s="2" t="s">
        <v>136</v>
      </c>
      <c r="D2189" s="2" t="s">
        <v>18</v>
      </c>
      <c r="E2189" s="5">
        <v>-29236</v>
      </c>
      <c r="F2189" s="3" t="s">
        <v>379</v>
      </c>
      <c r="G2189" s="3" t="s">
        <v>28</v>
      </c>
      <c r="H2189" s="2" t="s">
        <v>65</v>
      </c>
      <c r="I2189" s="2" t="s">
        <v>5378</v>
      </c>
      <c r="J2189" s="3" t="str">
        <f>HYPERLINK("https://www.boe.es/gazeta/dias/1819/12/14/pdfs/GMD-1819-153.pdf#page=8","Abrir facsímil")</f>
        <v>Abrir facsímil</v>
      </c>
      <c r="K2189" s="3" t="s">
        <v>67</v>
      </c>
    </row>
    <row r="2190" spans="1:11" ht="42" customHeight="1">
      <c r="A2190" s="2" t="s">
        <v>5379</v>
      </c>
      <c r="B2190" s="2" t="s">
        <v>5380</v>
      </c>
      <c r="C2190" s="2" t="s">
        <v>26</v>
      </c>
      <c r="D2190" s="2" t="s">
        <v>18</v>
      </c>
      <c r="E2190" s="5">
        <v>-29267</v>
      </c>
      <c r="F2190" s="3" t="s">
        <v>370</v>
      </c>
      <c r="G2190" s="3" t="s">
        <v>33</v>
      </c>
      <c r="H2190" s="2" t="s">
        <v>65</v>
      </c>
      <c r="I2190" s="2" t="s">
        <v>5381</v>
      </c>
      <c r="J2190" s="3" t="str">
        <f>HYPERLINK("https://www.boe.es/gazeta/dias/1819/11/13/pdfs/GMD-1819-140.pdf#page=6","Abrir facsímil")</f>
        <v>Abrir facsímil</v>
      </c>
      <c r="K2190" s="3" t="s">
        <v>67</v>
      </c>
    </row>
    <row r="2191" spans="1:11" ht="42" customHeight="1">
      <c r="A2191" s="2" t="s">
        <v>5382</v>
      </c>
      <c r="B2191" s="2" t="s">
        <v>5383</v>
      </c>
      <c r="C2191" s="2" t="s">
        <v>246</v>
      </c>
      <c r="D2191" s="2" t="s">
        <v>18</v>
      </c>
      <c r="E2191" s="5">
        <v>-29271</v>
      </c>
      <c r="F2191" s="3" t="s">
        <v>32</v>
      </c>
      <c r="G2191" s="3" t="s">
        <v>28</v>
      </c>
      <c r="H2191" s="2" t="s">
        <v>65</v>
      </c>
      <c r="I2191" s="2" t="s">
        <v>5384</v>
      </c>
      <c r="J2191" s="3" t="str">
        <f>HYPERLINK("https://www.boe.es/gazeta/dias/1819/11/09/pdfs/GMD-1819-138.pdf#page=8","Abrir facsímil")</f>
        <v>Abrir facsímil</v>
      </c>
      <c r="K2191" s="3" t="s">
        <v>67</v>
      </c>
    </row>
    <row r="2192" spans="1:11" ht="42" customHeight="1">
      <c r="A2192" s="2" t="s">
        <v>5385</v>
      </c>
      <c r="B2192" s="2" t="s">
        <v>5386</v>
      </c>
      <c r="C2192" s="2" t="s">
        <v>26</v>
      </c>
      <c r="D2192" s="2" t="s">
        <v>18</v>
      </c>
      <c r="E2192" s="5">
        <v>-29481</v>
      </c>
      <c r="F2192" s="3" t="s">
        <v>1504</v>
      </c>
      <c r="G2192" s="3" t="s">
        <v>28</v>
      </c>
      <c r="H2192" s="2" t="s">
        <v>65</v>
      </c>
      <c r="I2192" s="2" t="s">
        <v>5387</v>
      </c>
      <c r="J2192" s="3" t="str">
        <f>HYPERLINK("https://www.boe.es/gazeta/dias/1819/04/13/pdfs/GMD-1819-44.pdf#page=8","Abrir facsímil")</f>
        <v>Abrir facsímil</v>
      </c>
      <c r="K2192" s="3" t="s">
        <v>67</v>
      </c>
    </row>
    <row r="2193" spans="1:11" ht="42" customHeight="1">
      <c r="A2193" s="2" t="s">
        <v>5388</v>
      </c>
      <c r="B2193" s="2" t="s">
        <v>5388</v>
      </c>
      <c r="C2193" s="2" t="s">
        <v>80</v>
      </c>
      <c r="D2193" s="2" t="s">
        <v>81</v>
      </c>
      <c r="E2193" s="5">
        <v>-29346</v>
      </c>
      <c r="F2193" s="3" t="s">
        <v>718</v>
      </c>
      <c r="G2193" s="3" t="s">
        <v>33</v>
      </c>
      <c r="H2193" s="2" t="s">
        <v>65</v>
      </c>
      <c r="I2193" s="2" t="s">
        <v>5389</v>
      </c>
      <c r="J2193" s="3" t="str">
        <f>HYPERLINK("https://www.boe.es/gazeta/dias/1819/08/26/pdfs/GMD-1819-103.pdf#page=6","Abrir facsímil")</f>
        <v>Abrir facsímil</v>
      </c>
      <c r="K2193" s="3" t="s">
        <v>67</v>
      </c>
    </row>
    <row r="2194" spans="1:11" ht="42" customHeight="1">
      <c r="A2194" s="2" t="s">
        <v>5390</v>
      </c>
      <c r="B2194" s="2" t="s">
        <v>5391</v>
      </c>
      <c r="C2194" s="2" t="s">
        <v>80</v>
      </c>
      <c r="D2194" s="2" t="s">
        <v>81</v>
      </c>
      <c r="E2194" s="5">
        <v>-29535</v>
      </c>
      <c r="F2194" s="3" t="s">
        <v>200</v>
      </c>
      <c r="G2194" s="3" t="s">
        <v>296</v>
      </c>
      <c r="H2194" s="2" t="s">
        <v>65</v>
      </c>
      <c r="I2194" s="2" t="s">
        <v>5392</v>
      </c>
      <c r="J2194" s="3" t="str">
        <f>HYPERLINK("https://www.boe.es/gazeta/dias/1819/02/18/pdfs/GMD-1819-21.pdf#page=4","Abrir facsímil")</f>
        <v>Abrir facsímil</v>
      </c>
      <c r="K2194" s="3" t="s">
        <v>67</v>
      </c>
    </row>
    <row r="2195" spans="1:11" ht="42" customHeight="1">
      <c r="A2195" s="2" t="s">
        <v>5390</v>
      </c>
      <c r="B2195" s="2" t="s">
        <v>5391</v>
      </c>
      <c r="C2195" s="2" t="s">
        <v>59</v>
      </c>
      <c r="D2195" s="2" t="s">
        <v>18</v>
      </c>
      <c r="E2195" s="5">
        <v>-29535</v>
      </c>
      <c r="F2195" s="3" t="s">
        <v>200</v>
      </c>
      <c r="G2195" s="3" t="s">
        <v>38</v>
      </c>
      <c r="H2195" s="2" t="s">
        <v>65</v>
      </c>
      <c r="I2195" s="2" t="s">
        <v>5393</v>
      </c>
      <c r="J2195" s="3" t="str">
        <f>HYPERLINK("https://www.boe.es/gazeta/dias/1819/02/18/pdfs/GMD-1819-21.pdf#page=5","Abrir facsímil")</f>
        <v>Abrir facsímil</v>
      </c>
      <c r="K2195" s="3" t="s">
        <v>67</v>
      </c>
    </row>
    <row r="2196" spans="1:11" ht="42" customHeight="1">
      <c r="A2196" s="2" t="s">
        <v>5394</v>
      </c>
      <c r="B2196" s="2" t="s">
        <v>5395</v>
      </c>
      <c r="C2196" s="2" t="s">
        <v>63</v>
      </c>
      <c r="D2196" s="2" t="s">
        <v>43</v>
      </c>
      <c r="E2196" s="5">
        <v>-29222</v>
      </c>
      <c r="F2196" s="3" t="s">
        <v>338</v>
      </c>
      <c r="G2196" s="3" t="s">
        <v>339</v>
      </c>
      <c r="H2196" s="2" t="s">
        <v>21</v>
      </c>
      <c r="I2196" s="2" t="s">
        <v>5396</v>
      </c>
      <c r="J2196" s="3" t="str">
        <f>HYPERLINK("https://www.boe.es/gazeta/dias/1819/12/28/pdfs/GMD-1819-159.pdf#page=8","Abrir facsímil")</f>
        <v>Abrir facsímil</v>
      </c>
      <c r="K2196" s="3" t="s">
        <v>23</v>
      </c>
    </row>
    <row r="2197" spans="1:11" ht="42" customHeight="1">
      <c r="A2197" s="2" t="s">
        <v>5397</v>
      </c>
      <c r="B2197" s="2" t="s">
        <v>5398</v>
      </c>
      <c r="C2197" s="2" t="s">
        <v>17</v>
      </c>
      <c r="D2197" s="2" t="s">
        <v>18</v>
      </c>
      <c r="E2197" s="5">
        <v>-29260</v>
      </c>
      <c r="F2197" s="3" t="s">
        <v>93</v>
      </c>
      <c r="G2197" s="3" t="s">
        <v>33</v>
      </c>
      <c r="H2197" s="2" t="s">
        <v>21</v>
      </c>
      <c r="I2197" s="2" t="s">
        <v>5399</v>
      </c>
      <c r="J2197" s="3" t="str">
        <f>HYPERLINK("https://www.boe.es/gazeta/dias/1819/11/20/pdfs/GMD-1819-143.pdf#page=6","Abrir facsímil")</f>
        <v>Abrir facsímil</v>
      </c>
      <c r="K2197" s="3" t="s">
        <v>23</v>
      </c>
    </row>
    <row r="2198" spans="1:11" ht="42" customHeight="1">
      <c r="A2198" s="2" t="s">
        <v>5400</v>
      </c>
      <c r="B2198" s="2" t="s">
        <v>5401</v>
      </c>
      <c r="C2198" s="2" t="s">
        <v>63</v>
      </c>
      <c r="D2198" s="2" t="s">
        <v>43</v>
      </c>
      <c r="E2198" s="5">
        <v>-29528</v>
      </c>
      <c r="F2198" s="3" t="s">
        <v>708</v>
      </c>
      <c r="G2198" s="3" t="s">
        <v>55</v>
      </c>
      <c r="H2198" s="2" t="s">
        <v>21</v>
      </c>
      <c r="I2198" s="2" t="s">
        <v>5402</v>
      </c>
      <c r="J2198" s="3" t="str">
        <f>HYPERLINK("https://www.boe.es/gazeta/dias/1819/02/25/pdfs/GMD-1819-24.pdf#page=7","Abrir facsímil")</f>
        <v>Abrir facsímil</v>
      </c>
      <c r="K2198" s="3" t="s">
        <v>23</v>
      </c>
    </row>
    <row r="2199" spans="1:11" ht="42" customHeight="1">
      <c r="A2199" s="2" t="s">
        <v>5403</v>
      </c>
      <c r="B2199" s="2" t="s">
        <v>5404</v>
      </c>
      <c r="C2199" s="2" t="s">
        <v>63</v>
      </c>
      <c r="D2199" s="2" t="s">
        <v>43</v>
      </c>
      <c r="E2199" s="5">
        <v>-29449</v>
      </c>
      <c r="F2199" s="3" t="s">
        <v>771</v>
      </c>
      <c r="G2199" s="3" t="s">
        <v>28</v>
      </c>
      <c r="H2199" s="2" t="s">
        <v>65</v>
      </c>
      <c r="I2199" s="2" t="s">
        <v>5405</v>
      </c>
      <c r="J2199" s="3" t="str">
        <f>HYPERLINK("https://www.boe.es/gazeta/dias/1819/05/15/pdfs/GMD-1819-58.pdf#page=8","Abrir facsímil")</f>
        <v>Abrir facsímil</v>
      </c>
      <c r="K2199" s="3" t="s">
        <v>67</v>
      </c>
    </row>
    <row r="2200" spans="1:11" ht="42" customHeight="1">
      <c r="A2200" s="2" t="s">
        <v>5406</v>
      </c>
      <c r="B2200" s="2" t="s">
        <v>5407</v>
      </c>
      <c r="C2200" s="2" t="s">
        <v>63</v>
      </c>
      <c r="D2200" s="2" t="s">
        <v>43</v>
      </c>
      <c r="E2200" s="5">
        <v>-29400</v>
      </c>
      <c r="F2200" s="3" t="s">
        <v>2181</v>
      </c>
      <c r="G2200" s="3" t="s">
        <v>3943</v>
      </c>
      <c r="H2200" s="2" t="s">
        <v>65</v>
      </c>
      <c r="I2200" s="2" t="s">
        <v>5408</v>
      </c>
      <c r="J2200" s="3" t="str">
        <f>HYPERLINK("https://www.boe.es/gazeta/dias/1819/07/03/pdfs/GMD-1819-80.pdf#page=6","Abrir facsímil")</f>
        <v>Abrir facsímil</v>
      </c>
      <c r="K2200" s="3" t="s">
        <v>67</v>
      </c>
    </row>
    <row r="2201" spans="1:11" ht="42" customHeight="1">
      <c r="A2201" s="2" t="s">
        <v>5409</v>
      </c>
      <c r="B2201" s="2" t="s">
        <v>5410</v>
      </c>
      <c r="C2201" s="2" t="s">
        <v>63</v>
      </c>
      <c r="D2201" s="2" t="s">
        <v>43</v>
      </c>
      <c r="E2201" s="5">
        <v>-29439</v>
      </c>
      <c r="F2201" s="3" t="s">
        <v>1101</v>
      </c>
      <c r="G2201" s="3" t="s">
        <v>38</v>
      </c>
      <c r="H2201" s="2" t="s">
        <v>65</v>
      </c>
      <c r="I2201" s="2" t="s">
        <v>5411</v>
      </c>
      <c r="J2201" s="3" t="str">
        <f>HYPERLINK("https://www.boe.es/gazeta/dias/1819/05/25/pdfs/GMD-1819-62.pdf#page=5","Abrir facsímil")</f>
        <v>Abrir facsímil</v>
      </c>
      <c r="K2201" s="3" t="s">
        <v>67</v>
      </c>
    </row>
    <row r="2202" spans="1:11" ht="42" customHeight="1">
      <c r="A2202" s="2" t="s">
        <v>5412</v>
      </c>
      <c r="B2202" s="2" t="s">
        <v>5413</v>
      </c>
      <c r="C2202" s="2" t="s">
        <v>80</v>
      </c>
      <c r="D2202" s="2" t="s">
        <v>81</v>
      </c>
      <c r="E2202" s="5">
        <v>-29285</v>
      </c>
      <c r="F2202" s="3" t="s">
        <v>578</v>
      </c>
      <c r="G2202" s="3" t="s">
        <v>55</v>
      </c>
      <c r="H2202" s="2" t="s">
        <v>65</v>
      </c>
      <c r="I2202" s="2" t="s">
        <v>5414</v>
      </c>
      <c r="J2202" s="3" t="str">
        <f>HYPERLINK("https://www.boe.es/gazeta/dias/1819/10/26/pdfs/GMD-1819-132.pdf#page=7","Abrir facsímil")</f>
        <v>Abrir facsímil</v>
      </c>
      <c r="K2202" s="3" t="s">
        <v>67</v>
      </c>
    </row>
    <row r="2203" spans="1:11" ht="42" customHeight="1">
      <c r="A2203" s="2" t="s">
        <v>5415</v>
      </c>
      <c r="B2203" s="2" t="s">
        <v>5416</v>
      </c>
      <c r="C2203" s="2" t="s">
        <v>136</v>
      </c>
      <c r="D2203" s="2" t="s">
        <v>18</v>
      </c>
      <c r="E2203" s="5">
        <v>-29523</v>
      </c>
      <c r="F2203" s="3" t="s">
        <v>436</v>
      </c>
      <c r="G2203" s="3" t="s">
        <v>28</v>
      </c>
      <c r="H2203" s="2" t="s">
        <v>65</v>
      </c>
      <c r="I2203" s="2" t="s">
        <v>5417</v>
      </c>
      <c r="J2203" s="3" t="str">
        <f>HYPERLINK("https://www.boe.es/gazeta/dias/1819/03/02/pdfs/GMD-1819-26.pdf#page=8","Abrir facsímil")</f>
        <v>Abrir facsímil</v>
      </c>
      <c r="K2203" s="3" t="s">
        <v>67</v>
      </c>
    </row>
    <row r="2204" spans="1:11" ht="42" customHeight="1">
      <c r="A2204" s="2" t="s">
        <v>5418</v>
      </c>
      <c r="B2204" s="2" t="s">
        <v>5419</v>
      </c>
      <c r="C2204" s="2" t="s">
        <v>80</v>
      </c>
      <c r="D2204" s="2" t="s">
        <v>81</v>
      </c>
      <c r="E2204" s="5">
        <v>-29323</v>
      </c>
      <c r="F2204" s="3" t="s">
        <v>270</v>
      </c>
      <c r="G2204" s="3" t="s">
        <v>3361</v>
      </c>
      <c r="H2204" s="2" t="s">
        <v>65</v>
      </c>
      <c r="I2204" s="2" t="s">
        <v>5420</v>
      </c>
      <c r="J2204" s="3" t="str">
        <f>HYPERLINK("https://www.boe.es/gazeta/dias/1819/09/18/pdfs/GMD-1819-115.pdf#page=6","Abrir facsímil")</f>
        <v>Abrir facsímil</v>
      </c>
      <c r="K2204" s="3" t="s">
        <v>67</v>
      </c>
    </row>
    <row r="2205" spans="1:11" ht="42" customHeight="1">
      <c r="A2205" s="2" t="s">
        <v>5421</v>
      </c>
      <c r="B2205" s="2" t="s">
        <v>5422</v>
      </c>
      <c r="C2205" s="2" t="s">
        <v>26</v>
      </c>
      <c r="D2205" s="2" t="s">
        <v>18</v>
      </c>
      <c r="E2205" s="5">
        <v>-29325</v>
      </c>
      <c r="F2205" s="3" t="s">
        <v>174</v>
      </c>
      <c r="G2205" s="3" t="s">
        <v>2480</v>
      </c>
      <c r="H2205" s="2" t="s">
        <v>65</v>
      </c>
      <c r="I2205" s="2" t="s">
        <v>5423</v>
      </c>
      <c r="J2205" s="3" t="str">
        <f>HYPERLINK("https://www.boe.es/gazeta/dias/1819/09/16/pdfs/GMD-1819-113.pdf#page=5","Abrir facsímil")</f>
        <v>Abrir facsímil</v>
      </c>
      <c r="K2205" s="3" t="s">
        <v>67</v>
      </c>
    </row>
    <row r="2206" spans="1:11" ht="42" customHeight="1">
      <c r="A2206" s="2" t="s">
        <v>5424</v>
      </c>
      <c r="B2206" s="2" t="s">
        <v>5425</v>
      </c>
      <c r="C2206" s="2" t="s">
        <v>63</v>
      </c>
      <c r="D2206" s="2" t="s">
        <v>43</v>
      </c>
      <c r="E2206" s="5">
        <v>-29341</v>
      </c>
      <c r="F2206" s="3" t="s">
        <v>806</v>
      </c>
      <c r="G2206" s="3" t="s">
        <v>3754</v>
      </c>
      <c r="H2206" s="2" t="s">
        <v>65</v>
      </c>
      <c r="I2206" s="2" t="s">
        <v>5426</v>
      </c>
      <c r="J2206" s="3" t="str">
        <f>HYPERLINK("https://www.boe.es/gazeta/dias/1819/08/31/pdfs/GMD-1819-105.pdf#page=7","Abrir facsímil")</f>
        <v>Abrir facsímil</v>
      </c>
      <c r="K2206" s="3" t="s">
        <v>67</v>
      </c>
    </row>
    <row r="2207" spans="1:11" ht="42" customHeight="1">
      <c r="A2207" s="2" t="s">
        <v>5427</v>
      </c>
      <c r="B2207" s="2" t="s">
        <v>5428</v>
      </c>
      <c r="C2207" s="2" t="s">
        <v>136</v>
      </c>
      <c r="D2207" s="2" t="s">
        <v>18</v>
      </c>
      <c r="E2207" s="5">
        <v>-29337</v>
      </c>
      <c r="F2207" s="3" t="s">
        <v>1098</v>
      </c>
      <c r="G2207" s="3" t="s">
        <v>33</v>
      </c>
      <c r="H2207" s="2" t="s">
        <v>65</v>
      </c>
      <c r="I2207" s="2" t="s">
        <v>5429</v>
      </c>
      <c r="J2207" s="3" t="str">
        <f>HYPERLINK("https://www.boe.es/gazeta/dias/1819/09/04/pdfs/GMD-1819-108.pdf#page=6","Abrir facsímil")</f>
        <v>Abrir facsímil</v>
      </c>
      <c r="K2207" s="3" t="s">
        <v>67</v>
      </c>
    </row>
    <row r="2208" spans="1:11" ht="42" customHeight="1">
      <c r="A2208" s="2" t="s">
        <v>5430</v>
      </c>
      <c r="B2208" s="2" t="s">
        <v>5431</v>
      </c>
      <c r="C2208" s="2" t="s">
        <v>80</v>
      </c>
      <c r="D2208" s="2" t="s">
        <v>81</v>
      </c>
      <c r="E2208" s="5">
        <v>-29544</v>
      </c>
      <c r="F2208" s="3" t="s">
        <v>531</v>
      </c>
      <c r="G2208" s="3" t="s">
        <v>38</v>
      </c>
      <c r="H2208" s="2" t="s">
        <v>65</v>
      </c>
      <c r="I2208" s="2" t="s">
        <v>5432</v>
      </c>
      <c r="J2208" s="3" t="str">
        <f>HYPERLINK("https://www.boe.es/gazeta/dias/1819/02/09/pdfs/GMD-1819-17.pdf#page=5","Abrir facsímil")</f>
        <v>Abrir facsímil</v>
      </c>
      <c r="K2208" s="3" t="s">
        <v>67</v>
      </c>
    </row>
    <row r="2209" spans="1:11" ht="42" customHeight="1">
      <c r="A2209" s="2" t="s">
        <v>5433</v>
      </c>
      <c r="B2209" s="2" t="s">
        <v>5433</v>
      </c>
      <c r="C2209" s="2" t="s">
        <v>26</v>
      </c>
      <c r="D2209" s="2" t="s">
        <v>18</v>
      </c>
      <c r="E2209" s="5">
        <v>-29565</v>
      </c>
      <c r="F2209" s="3" t="s">
        <v>293</v>
      </c>
      <c r="G2209" s="3" t="s">
        <v>1608</v>
      </c>
      <c r="H2209" s="2" t="s">
        <v>65</v>
      </c>
      <c r="I2209" s="2" t="s">
        <v>5434</v>
      </c>
      <c r="J2209" s="3" t="str">
        <f>HYPERLINK("https://www.boe.es/gazeta/dias/1819/01/19/pdfs/GMD-1819-8.pdf#page=8","Abrir facsímil")</f>
        <v>Abrir facsímil</v>
      </c>
      <c r="K2209" s="3" t="s">
        <v>67</v>
      </c>
    </row>
    <row r="2210" spans="1:11" ht="42" customHeight="1">
      <c r="A2210" s="2" t="s">
        <v>5435</v>
      </c>
      <c r="B2210" s="2" t="s">
        <v>5435</v>
      </c>
      <c r="C2210" s="2" t="s">
        <v>59</v>
      </c>
      <c r="D2210" s="2" t="s">
        <v>18</v>
      </c>
      <c r="E2210" s="5">
        <v>-29467</v>
      </c>
      <c r="F2210" s="3" t="s">
        <v>1712</v>
      </c>
      <c r="G2210" s="3" t="s">
        <v>55</v>
      </c>
      <c r="H2210" s="2" t="s">
        <v>65</v>
      </c>
      <c r="I2210" s="2" t="s">
        <v>5436</v>
      </c>
      <c r="J2210" s="3" t="str">
        <f>HYPERLINK("https://www.boe.es/gazeta/dias/1819/04/27/pdfs/GMD-1819-50.pdf#page=7","Abrir facsímil")</f>
        <v>Abrir facsímil</v>
      </c>
      <c r="K2210" s="3" t="s">
        <v>67</v>
      </c>
    </row>
    <row r="2211" spans="1:11" ht="42" customHeight="1">
      <c r="A2211" s="2" t="s">
        <v>5437</v>
      </c>
      <c r="B2211" s="2" t="s">
        <v>5438</v>
      </c>
      <c r="C2211" s="2" t="s">
        <v>136</v>
      </c>
      <c r="D2211" s="2" t="s">
        <v>18</v>
      </c>
      <c r="E2211" s="5">
        <v>-29474</v>
      </c>
      <c r="F2211" s="3" t="s">
        <v>216</v>
      </c>
      <c r="G2211" s="3" t="s">
        <v>33</v>
      </c>
      <c r="H2211" s="2" t="s">
        <v>65</v>
      </c>
      <c r="I2211" s="2" t="s">
        <v>5439</v>
      </c>
      <c r="J2211" s="3" t="str">
        <f>HYPERLINK("https://www.boe.es/gazeta/dias/1819/04/20/pdfs/GMD-1819-47.pdf#page=6","Abrir facsímil")</f>
        <v>Abrir facsímil</v>
      </c>
      <c r="K2211" s="3" t="s">
        <v>67</v>
      </c>
    </row>
    <row r="2212" spans="1:11" ht="42" customHeight="1">
      <c r="A2212" s="2" t="s">
        <v>5440</v>
      </c>
      <c r="B2212" s="2" t="s">
        <v>5440</v>
      </c>
      <c r="C2212" s="2" t="s">
        <v>80</v>
      </c>
      <c r="D2212" s="2" t="s">
        <v>81</v>
      </c>
      <c r="E2212" s="5">
        <v>-29570</v>
      </c>
      <c r="F2212" s="3" t="s">
        <v>2008</v>
      </c>
      <c r="G2212" s="3" t="s">
        <v>38</v>
      </c>
      <c r="H2212" s="2" t="s">
        <v>65</v>
      </c>
      <c r="I2212" s="2" t="s">
        <v>5441</v>
      </c>
      <c r="J2212" s="3" t="str">
        <f>HYPERLINK("https://www.boe.es/gazeta/dias/1819/01/14/pdfs/GMD-1819-6.pdf#page=5","Abrir facsímil")</f>
        <v>Abrir facsímil</v>
      </c>
      <c r="K2212" s="3" t="s">
        <v>67</v>
      </c>
    </row>
    <row r="2213" spans="1:11" ht="42" customHeight="1">
      <c r="A2213" s="2" t="s">
        <v>5440</v>
      </c>
      <c r="B2213" s="2" t="s">
        <v>5440</v>
      </c>
      <c r="C2213" s="2" t="s">
        <v>63</v>
      </c>
      <c r="D2213" s="2" t="s">
        <v>43</v>
      </c>
      <c r="E2213" s="5">
        <v>-29493</v>
      </c>
      <c r="F2213" s="3" t="s">
        <v>404</v>
      </c>
      <c r="G2213" s="3" t="s">
        <v>102</v>
      </c>
      <c r="H2213" s="2" t="s">
        <v>65</v>
      </c>
      <c r="I2213" s="2" t="s">
        <v>5442</v>
      </c>
      <c r="J2213" s="3" t="str">
        <f>HYPERLINK("https://www.boe.es/gazeta/dias/1819/04/01/pdfs/GMD-1819-39.pdf#page=3","Abrir facsímil")</f>
        <v>Abrir facsímil</v>
      </c>
      <c r="K2213" s="3" t="s">
        <v>67</v>
      </c>
    </row>
    <row r="2214" spans="1:11" ht="42" customHeight="1">
      <c r="A2214" s="2" t="s">
        <v>5440</v>
      </c>
      <c r="B2214" s="2" t="s">
        <v>5440</v>
      </c>
      <c r="C2214" s="2" t="s">
        <v>63</v>
      </c>
      <c r="D2214" s="2" t="s">
        <v>43</v>
      </c>
      <c r="E2214" s="5">
        <v>-29481</v>
      </c>
      <c r="F2214" s="3" t="s">
        <v>1504</v>
      </c>
      <c r="G2214" s="3" t="s">
        <v>5443</v>
      </c>
      <c r="H2214" s="2" t="s">
        <v>65</v>
      </c>
      <c r="I2214" s="2" t="s">
        <v>5444</v>
      </c>
      <c r="J2214" s="3" t="str">
        <f>HYPERLINK("https://www.boe.es/gazeta/dias/1819/04/13/pdfs/GMD-1819-44.pdf#page=3","Abrir facsímil")</f>
        <v>Abrir facsímil</v>
      </c>
      <c r="K2214" s="3" t="s">
        <v>67</v>
      </c>
    </row>
    <row r="2215" spans="1:11" ht="42" customHeight="1">
      <c r="A2215" s="2" t="s">
        <v>5440</v>
      </c>
      <c r="B2215" s="2" t="s">
        <v>5440</v>
      </c>
      <c r="C2215" s="2" t="s">
        <v>59</v>
      </c>
      <c r="D2215" s="2" t="s">
        <v>18</v>
      </c>
      <c r="E2215" s="5">
        <v>-29425</v>
      </c>
      <c r="F2215" s="3" t="s">
        <v>110</v>
      </c>
      <c r="G2215" s="3" t="s">
        <v>55</v>
      </c>
      <c r="H2215" s="2" t="s">
        <v>65</v>
      </c>
      <c r="I2215" s="2" t="s">
        <v>5445</v>
      </c>
      <c r="J2215" s="3" t="str">
        <f>HYPERLINK("https://www.boe.es/gazeta/dias/1819/06/08/pdfs/GMD-1819-68.pdf#page=7","Abrir facsímil")</f>
        <v>Abrir facsímil</v>
      </c>
      <c r="K2215" s="3" t="s">
        <v>67</v>
      </c>
    </row>
    <row r="2216" spans="1:11" ht="42" customHeight="1">
      <c r="A2216" s="2" t="s">
        <v>5440</v>
      </c>
      <c r="B2216" s="2" t="s">
        <v>5440</v>
      </c>
      <c r="C2216" s="2" t="s">
        <v>80</v>
      </c>
      <c r="D2216" s="2" t="s">
        <v>81</v>
      </c>
      <c r="E2216" s="5">
        <v>-29262</v>
      </c>
      <c r="F2216" s="3" t="s">
        <v>1428</v>
      </c>
      <c r="G2216" s="3" t="s">
        <v>38</v>
      </c>
      <c r="H2216" s="2" t="s">
        <v>65</v>
      </c>
      <c r="I2216" s="2" t="s">
        <v>5446</v>
      </c>
      <c r="J2216" s="3" t="str">
        <f>HYPERLINK("https://www.boe.es/gazeta/dias/1819/11/18/pdfs/GMD-1819-142.pdf#page=5","Abrir facsímil")</f>
        <v>Abrir facsímil</v>
      </c>
      <c r="K2216" s="3" t="s">
        <v>67</v>
      </c>
    </row>
    <row r="2217" spans="1:11" ht="42" customHeight="1">
      <c r="A2217" s="2" t="s">
        <v>5447</v>
      </c>
      <c r="B2217" s="2" t="s">
        <v>5448</v>
      </c>
      <c r="C2217" s="2" t="s">
        <v>59</v>
      </c>
      <c r="D2217" s="2" t="s">
        <v>18</v>
      </c>
      <c r="E2217" s="5">
        <v>-29267</v>
      </c>
      <c r="F2217" s="3" t="s">
        <v>370</v>
      </c>
      <c r="G2217" s="3" t="s">
        <v>33</v>
      </c>
      <c r="H2217" s="2" t="s">
        <v>65</v>
      </c>
      <c r="I2217" s="2" t="s">
        <v>5449</v>
      </c>
      <c r="J2217" s="3" t="str">
        <f>HYPERLINK("https://www.boe.es/gazeta/dias/1819/11/13/pdfs/GMD-1819-140.pdf#page=6","Abrir facsímil")</f>
        <v>Abrir facsímil</v>
      </c>
      <c r="K2217" s="3" t="s">
        <v>67</v>
      </c>
    </row>
    <row r="2218" spans="1:11" ht="42" customHeight="1">
      <c r="A2218" s="2" t="s">
        <v>5450</v>
      </c>
      <c r="B2218" s="2" t="s">
        <v>5451</v>
      </c>
      <c r="C2218" s="2" t="s">
        <v>80</v>
      </c>
      <c r="D2218" s="2" t="s">
        <v>81</v>
      </c>
      <c r="E2218" s="5">
        <v>-29285</v>
      </c>
      <c r="F2218" s="3" t="s">
        <v>578</v>
      </c>
      <c r="G2218" s="3" t="s">
        <v>55</v>
      </c>
      <c r="H2218" s="2" t="s">
        <v>65</v>
      </c>
      <c r="I2218" s="2" t="s">
        <v>5452</v>
      </c>
      <c r="J2218" s="3" t="str">
        <f>HYPERLINK("https://www.boe.es/gazeta/dias/1819/10/26/pdfs/GMD-1819-132.pdf#page=7","Abrir facsímil")</f>
        <v>Abrir facsímil</v>
      </c>
      <c r="K2218" s="3" t="s">
        <v>67</v>
      </c>
    </row>
    <row r="2219" spans="1:11" ht="42" customHeight="1">
      <c r="A2219" s="2" t="s">
        <v>5453</v>
      </c>
      <c r="B2219" s="2" t="s">
        <v>5453</v>
      </c>
      <c r="C2219" s="2" t="s">
        <v>80</v>
      </c>
      <c r="D2219" s="2" t="s">
        <v>81</v>
      </c>
      <c r="E2219" s="5">
        <v>-29577</v>
      </c>
      <c r="F2219" s="3" t="s">
        <v>1008</v>
      </c>
      <c r="G2219" s="3" t="s">
        <v>38</v>
      </c>
      <c r="H2219" s="2" t="s">
        <v>65</v>
      </c>
      <c r="I2219" s="2" t="s">
        <v>5454</v>
      </c>
      <c r="J2219" s="3" t="str">
        <f>HYPERLINK("https://www.boe.es/gazeta/dias/1819/01/07/pdfs/GMD-1819-3.pdf#page=5","Abrir facsímil")</f>
        <v>Abrir facsímil</v>
      </c>
      <c r="K2219" s="3" t="s">
        <v>67</v>
      </c>
    </row>
    <row r="2220" spans="1:11" ht="42" customHeight="1">
      <c r="A2220" s="2" t="s">
        <v>5455</v>
      </c>
      <c r="B2220" s="2" t="s">
        <v>5455</v>
      </c>
      <c r="C2220" s="2" t="s">
        <v>80</v>
      </c>
      <c r="D2220" s="2" t="s">
        <v>81</v>
      </c>
      <c r="E2220" s="5">
        <v>-29416</v>
      </c>
      <c r="F2220" s="3" t="s">
        <v>251</v>
      </c>
      <c r="G2220" s="3" t="s">
        <v>33</v>
      </c>
      <c r="H2220" s="2" t="s">
        <v>65</v>
      </c>
      <c r="I2220" s="2" t="s">
        <v>5456</v>
      </c>
      <c r="J2220" s="3" t="str">
        <f>HYPERLINK("https://www.boe.es/gazeta/dias/1819/06/17/pdfs/GMD-1819-73.pdf#page=6","Abrir facsímil")</f>
        <v>Abrir facsímil</v>
      </c>
      <c r="K2220" s="3" t="s">
        <v>67</v>
      </c>
    </row>
    <row r="2221" spans="1:11" ht="42" customHeight="1">
      <c r="A2221" s="2" t="s">
        <v>5457</v>
      </c>
      <c r="B2221" s="2" t="s">
        <v>5457</v>
      </c>
      <c r="C2221" s="2" t="s">
        <v>59</v>
      </c>
      <c r="D2221" s="2" t="s">
        <v>18</v>
      </c>
      <c r="E2221" s="5">
        <v>-29435</v>
      </c>
      <c r="F2221" s="3" t="s">
        <v>191</v>
      </c>
      <c r="G2221" s="3" t="s">
        <v>5458</v>
      </c>
      <c r="H2221" s="2" t="s">
        <v>65</v>
      </c>
      <c r="I2221" s="2" t="s">
        <v>5459</v>
      </c>
      <c r="J2221" s="3" t="str">
        <f>HYPERLINK("https://www.boe.es/gazeta/dias/1819/05/29/pdfs/GMD-1819-64.pdf#page=5","Abrir facsímil")</f>
        <v>Abrir facsímil</v>
      </c>
      <c r="K2221" s="3" t="s">
        <v>67</v>
      </c>
    </row>
    <row r="2222" spans="1:11" ht="42" customHeight="1">
      <c r="A2222" s="2" t="s">
        <v>5460</v>
      </c>
      <c r="B2222" s="2" t="s">
        <v>5461</v>
      </c>
      <c r="C2222" s="2" t="s">
        <v>136</v>
      </c>
      <c r="D2222" s="2" t="s">
        <v>18</v>
      </c>
      <c r="E2222" s="5">
        <v>-29507</v>
      </c>
      <c r="F2222" s="3" t="s">
        <v>1928</v>
      </c>
      <c r="G2222" s="3" t="s">
        <v>55</v>
      </c>
      <c r="H2222" s="2" t="s">
        <v>65</v>
      </c>
      <c r="I2222" s="2" t="s">
        <v>5462</v>
      </c>
      <c r="J2222" s="3" t="str">
        <f>HYPERLINK("https://www.boe.es/gazeta/dias/1819/03/18/pdfs/GMD-1819-33.pdf#page=7","Abrir facsímil")</f>
        <v>Abrir facsímil</v>
      </c>
      <c r="K2222" s="3" t="s">
        <v>67</v>
      </c>
    </row>
    <row r="2223" spans="1:11" ht="42" customHeight="1">
      <c r="A2223" s="2" t="s">
        <v>5460</v>
      </c>
      <c r="B2223" s="2" t="s">
        <v>5461</v>
      </c>
      <c r="C2223" s="2" t="s">
        <v>80</v>
      </c>
      <c r="D2223" s="2" t="s">
        <v>81</v>
      </c>
      <c r="E2223" s="5">
        <v>-29388</v>
      </c>
      <c r="F2223" s="3" t="s">
        <v>879</v>
      </c>
      <c r="G2223" s="3" t="s">
        <v>2554</v>
      </c>
      <c r="H2223" s="2" t="s">
        <v>65</v>
      </c>
      <c r="I2223" s="2" t="s">
        <v>5463</v>
      </c>
      <c r="J2223" s="3" t="str">
        <f>HYPERLINK("https://www.boe.es/gazeta/dias/1819/07/15/pdfs/GMD-1819-85.pdf#page=6","Abrir facsímil")</f>
        <v>Abrir facsímil</v>
      </c>
      <c r="K2223" s="3" t="s">
        <v>67</v>
      </c>
    </row>
    <row r="2224" spans="1:11" ht="42" customHeight="1">
      <c r="A2224" s="2" t="s">
        <v>5460</v>
      </c>
      <c r="B2224" s="2" t="s">
        <v>5461</v>
      </c>
      <c r="C2224" s="2" t="s">
        <v>80</v>
      </c>
      <c r="D2224" s="2" t="s">
        <v>81</v>
      </c>
      <c r="E2224" s="5">
        <v>-29316</v>
      </c>
      <c r="F2224" s="3" t="s">
        <v>166</v>
      </c>
      <c r="G2224" s="3" t="s">
        <v>55</v>
      </c>
      <c r="H2224" s="2" t="s">
        <v>65</v>
      </c>
      <c r="I2224" s="2" t="s">
        <v>5464</v>
      </c>
      <c r="J2224" s="3" t="str">
        <f>HYPERLINK("https://www.boe.es/gazeta/dias/1819/09/25/pdfs/GMD-1819-118.pdf#page=7","Abrir facsímil")</f>
        <v>Abrir facsímil</v>
      </c>
      <c r="K2224" s="3" t="s">
        <v>67</v>
      </c>
    </row>
    <row r="2225" spans="1:11" ht="42" customHeight="1">
      <c r="A2225" s="2" t="s">
        <v>5460</v>
      </c>
      <c r="B2225" s="2" t="s">
        <v>5461</v>
      </c>
      <c r="C2225" s="2" t="s">
        <v>59</v>
      </c>
      <c r="D2225" s="2" t="s">
        <v>18</v>
      </c>
      <c r="E2225" s="5">
        <v>-29316</v>
      </c>
      <c r="F2225" s="3" t="s">
        <v>166</v>
      </c>
      <c r="G2225" s="3" t="s">
        <v>456</v>
      </c>
      <c r="H2225" s="2" t="s">
        <v>65</v>
      </c>
      <c r="I2225" s="2" t="s">
        <v>5465</v>
      </c>
      <c r="J2225" s="3" t="str">
        <f>HYPERLINK("https://www.boe.es/gazeta/dias/1819/09/25/pdfs/GMD-1819-118.pdf#page=9","Abrir facsímil")</f>
        <v>Abrir facsímil</v>
      </c>
      <c r="K2225" s="3" t="s">
        <v>67</v>
      </c>
    </row>
    <row r="2226" spans="1:11" ht="42" customHeight="1">
      <c r="A2226" s="2" t="s">
        <v>5460</v>
      </c>
      <c r="B2226" s="2" t="s">
        <v>5461</v>
      </c>
      <c r="C2226" s="2" t="s">
        <v>63</v>
      </c>
      <c r="D2226" s="2" t="s">
        <v>43</v>
      </c>
      <c r="E2226" s="5">
        <v>-29278</v>
      </c>
      <c r="F2226" s="3" t="s">
        <v>1950</v>
      </c>
      <c r="G2226" s="3" t="s">
        <v>33</v>
      </c>
      <c r="H2226" s="2" t="s">
        <v>65</v>
      </c>
      <c r="I2226" s="2" t="s">
        <v>5466</v>
      </c>
      <c r="J2226" s="3" t="str">
        <f>HYPERLINK("https://www.boe.es/gazeta/dias/1819/11/02/pdfs/GMD-1819-135.pdf#page=6","Abrir facsímil")</f>
        <v>Abrir facsímil</v>
      </c>
      <c r="K2226" s="3" t="s">
        <v>67</v>
      </c>
    </row>
    <row r="2227" spans="1:11" ht="42" customHeight="1">
      <c r="A2227" s="2" t="s">
        <v>5467</v>
      </c>
      <c r="B2227" s="2" t="s">
        <v>5468</v>
      </c>
      <c r="C2227" s="2" t="s">
        <v>63</v>
      </c>
      <c r="D2227" s="2" t="s">
        <v>43</v>
      </c>
      <c r="E2227" s="5">
        <v>-29535</v>
      </c>
      <c r="F2227" s="3" t="s">
        <v>200</v>
      </c>
      <c r="G2227" s="3" t="s">
        <v>55</v>
      </c>
      <c r="H2227" s="2" t="s">
        <v>65</v>
      </c>
      <c r="I2227" s="2" t="s">
        <v>5469</v>
      </c>
      <c r="J2227" s="3" t="str">
        <f>HYPERLINK("https://www.boe.es/gazeta/dias/1819/02/18/pdfs/GMD-1819-21.pdf#page=7","Abrir facsímil")</f>
        <v>Abrir facsímil</v>
      </c>
      <c r="K2227" s="3" t="s">
        <v>67</v>
      </c>
    </row>
    <row r="2228" spans="1:11" ht="42" customHeight="1">
      <c r="A2228" s="2" t="s">
        <v>5470</v>
      </c>
      <c r="B2228" s="2" t="s">
        <v>5470</v>
      </c>
      <c r="C2228" s="2" t="s">
        <v>59</v>
      </c>
      <c r="D2228" s="2" t="s">
        <v>18</v>
      </c>
      <c r="E2228" s="5">
        <v>-29388</v>
      </c>
      <c r="F2228" s="3" t="s">
        <v>879</v>
      </c>
      <c r="G2228" s="3" t="s">
        <v>38</v>
      </c>
      <c r="H2228" s="2" t="s">
        <v>65</v>
      </c>
      <c r="I2228" s="2" t="s">
        <v>5471</v>
      </c>
      <c r="J2228" s="3" t="str">
        <f>HYPERLINK("https://www.boe.es/gazeta/dias/1819/07/15/pdfs/GMD-1819-85.pdf#page=5","Abrir facsímil")</f>
        <v>Abrir facsímil</v>
      </c>
      <c r="K2228" s="3" t="s">
        <v>67</v>
      </c>
    </row>
    <row r="2229" spans="1:11" ht="42" customHeight="1">
      <c r="A2229" s="2" t="s">
        <v>5472</v>
      </c>
      <c r="B2229" s="2" t="s">
        <v>5473</v>
      </c>
      <c r="C2229" s="2" t="s">
        <v>63</v>
      </c>
      <c r="D2229" s="2" t="s">
        <v>43</v>
      </c>
      <c r="E2229" s="5">
        <v>-29402</v>
      </c>
      <c r="F2229" s="3" t="s">
        <v>1091</v>
      </c>
      <c r="G2229" s="3" t="s">
        <v>55</v>
      </c>
      <c r="H2229" s="2" t="s">
        <v>65</v>
      </c>
      <c r="I2229" s="2" t="s">
        <v>5474</v>
      </c>
      <c r="J2229" s="3" t="str">
        <f>HYPERLINK("https://www.boe.es/gazeta/dias/1819/07/01/pdfs/GMD-1819-79.pdf#page=7","Abrir facsímil")</f>
        <v>Abrir facsímil</v>
      </c>
      <c r="K2229" s="3" t="s">
        <v>67</v>
      </c>
    </row>
    <row r="2230" spans="1:11" ht="42" customHeight="1">
      <c r="A2230" s="2" t="s">
        <v>5475</v>
      </c>
      <c r="B2230" s="2" t="s">
        <v>5476</v>
      </c>
      <c r="C2230" s="2" t="s">
        <v>42</v>
      </c>
      <c r="D2230" s="2" t="s">
        <v>43</v>
      </c>
      <c r="E2230" s="5">
        <v>-29505</v>
      </c>
      <c r="F2230" s="3" t="s">
        <v>597</v>
      </c>
      <c r="G2230" s="3" t="s">
        <v>28</v>
      </c>
      <c r="H2230" s="2" t="s">
        <v>65</v>
      </c>
      <c r="I2230" s="2" t="s">
        <v>5477</v>
      </c>
      <c r="J2230" s="3" t="str">
        <f>HYPERLINK("https://www.boe.es/gazeta/dias/1819/03/20/pdfs/GMD-1819-34.pdf#page=8","Abrir facsímil")</f>
        <v>Abrir facsímil</v>
      </c>
      <c r="K2230" s="3" t="s">
        <v>67</v>
      </c>
    </row>
    <row r="2231" spans="1:11" ht="42" customHeight="1">
      <c r="A2231" s="2" t="s">
        <v>5478</v>
      </c>
      <c r="B2231" s="2" t="s">
        <v>5479</v>
      </c>
      <c r="C2231" s="2" t="s">
        <v>80</v>
      </c>
      <c r="D2231" s="2" t="s">
        <v>81</v>
      </c>
      <c r="E2231" s="5">
        <v>-29269</v>
      </c>
      <c r="F2231" s="3" t="s">
        <v>565</v>
      </c>
      <c r="G2231" s="3" t="s">
        <v>28</v>
      </c>
      <c r="H2231" s="2" t="s">
        <v>65</v>
      </c>
      <c r="I2231" s="2" t="s">
        <v>5480</v>
      </c>
      <c r="J2231" s="3" t="str">
        <f>HYPERLINK("https://www.boe.es/gazeta/dias/1819/11/11/pdfs/GMD-1819-139.pdf#page=8","Abrir facsímil")</f>
        <v>Abrir facsímil</v>
      </c>
      <c r="K2231" s="3" t="s">
        <v>67</v>
      </c>
    </row>
    <row r="2232" spans="1:11" ht="42" customHeight="1">
      <c r="A2232" s="2" t="s">
        <v>5481</v>
      </c>
      <c r="B2232" s="2" t="s">
        <v>5482</v>
      </c>
      <c r="C2232" s="2" t="s">
        <v>63</v>
      </c>
      <c r="D2232" s="2" t="s">
        <v>43</v>
      </c>
      <c r="E2232" s="5">
        <v>-29281</v>
      </c>
      <c r="F2232" s="3" t="s">
        <v>19</v>
      </c>
      <c r="G2232" s="3" t="s">
        <v>456</v>
      </c>
      <c r="H2232" s="2" t="s">
        <v>65</v>
      </c>
      <c r="I2232" s="2" t="s">
        <v>5483</v>
      </c>
      <c r="J2232" s="3" t="str">
        <f>HYPERLINK("https://www.boe.es/gazeta/dias/1819/10/30/pdfs/GMD-1819-134.pdf#page=9","Abrir facsímil")</f>
        <v>Abrir facsímil</v>
      </c>
      <c r="K2232" s="3" t="s">
        <v>67</v>
      </c>
    </row>
    <row r="2233" spans="1:11" ht="42" customHeight="1">
      <c r="A2233" s="2" t="s">
        <v>5484</v>
      </c>
      <c r="B2233" s="2" t="s">
        <v>5484</v>
      </c>
      <c r="C2233" s="2" t="s">
        <v>80</v>
      </c>
      <c r="D2233" s="2" t="s">
        <v>81</v>
      </c>
      <c r="E2233" s="5">
        <v>-29369</v>
      </c>
      <c r="F2233" s="3" t="s">
        <v>231</v>
      </c>
      <c r="G2233" s="3" t="s">
        <v>259</v>
      </c>
      <c r="H2233" s="2" t="s">
        <v>65</v>
      </c>
      <c r="I2233" s="2" t="s">
        <v>5485</v>
      </c>
      <c r="J2233" s="3" t="str">
        <f>HYPERLINK("https://www.boe.es/gazeta/dias/1819/08/03/pdfs/GMD-1819-93.pdf#page=2","Abrir facsímil")</f>
        <v>Abrir facsímil</v>
      </c>
      <c r="K2233" s="3" t="s">
        <v>67</v>
      </c>
    </row>
    <row r="2234" spans="1:11" ht="42" customHeight="1">
      <c r="A2234" s="2" t="s">
        <v>5484</v>
      </c>
      <c r="B2234" s="2" t="s">
        <v>5484</v>
      </c>
      <c r="C2234" s="2" t="s">
        <v>80</v>
      </c>
      <c r="D2234" s="2" t="s">
        <v>81</v>
      </c>
      <c r="E2234" s="5">
        <v>-29330</v>
      </c>
      <c r="F2234" s="3" t="s">
        <v>1406</v>
      </c>
      <c r="G2234" s="3" t="s">
        <v>259</v>
      </c>
      <c r="H2234" s="2" t="s">
        <v>65</v>
      </c>
      <c r="I2234" s="2" t="s">
        <v>5486</v>
      </c>
      <c r="J2234" s="3" t="str">
        <f>HYPERLINK("https://www.boe.es/gazeta/dias/1819/09/11/pdfs/GMD-1819-111.pdf#page=2","Abrir facsímil")</f>
        <v>Abrir facsímil</v>
      </c>
      <c r="K2234" s="3" t="s">
        <v>67</v>
      </c>
    </row>
    <row r="2235" spans="1:11" ht="42" customHeight="1">
      <c r="A2235" s="2" t="s">
        <v>5487</v>
      </c>
      <c r="B2235" s="2" t="s">
        <v>5487</v>
      </c>
      <c r="C2235" s="2" t="s">
        <v>80</v>
      </c>
      <c r="D2235" s="2" t="s">
        <v>81</v>
      </c>
      <c r="E2235" s="5">
        <v>-29549</v>
      </c>
      <c r="F2235" s="3" t="s">
        <v>124</v>
      </c>
      <c r="G2235" s="3" t="s">
        <v>38</v>
      </c>
      <c r="H2235" s="2" t="s">
        <v>65</v>
      </c>
      <c r="I2235" s="2" t="s">
        <v>5488</v>
      </c>
      <c r="J2235" s="3" t="str">
        <f>HYPERLINK("https://www.boe.es/gazeta/dias/1819/02/04/pdfs/GMD-1819-15.pdf#page=5","Abrir facsímil")</f>
        <v>Abrir facsímil</v>
      </c>
      <c r="K2235" s="3" t="s">
        <v>67</v>
      </c>
    </row>
    <row r="2236" spans="1:11" ht="42" customHeight="1">
      <c r="A2236" s="2" t="s">
        <v>5489</v>
      </c>
      <c r="B2236" s="2" t="s">
        <v>5490</v>
      </c>
      <c r="C2236" s="2" t="s">
        <v>80</v>
      </c>
      <c r="D2236" s="2" t="s">
        <v>81</v>
      </c>
      <c r="E2236" s="5">
        <v>-29495</v>
      </c>
      <c r="F2236" s="3" t="s">
        <v>992</v>
      </c>
      <c r="G2236" s="3" t="s">
        <v>55</v>
      </c>
      <c r="H2236" s="2" t="s">
        <v>65</v>
      </c>
      <c r="I2236" s="2" t="s">
        <v>5491</v>
      </c>
      <c r="J2236" s="3" t="str">
        <f>HYPERLINK("https://www.boe.es/gazeta/dias/1819/03/30/pdfs/GMD-1819-38.pdf#page=7","Abrir facsímil")</f>
        <v>Abrir facsímil</v>
      </c>
      <c r="K2236" s="3" t="s">
        <v>67</v>
      </c>
    </row>
    <row r="2237" spans="1:11" ht="42" customHeight="1">
      <c r="A2237" s="2" t="s">
        <v>5492</v>
      </c>
      <c r="B2237" s="2" t="s">
        <v>5493</v>
      </c>
      <c r="C2237" s="2" t="s">
        <v>80</v>
      </c>
      <c r="D2237" s="2" t="s">
        <v>81</v>
      </c>
      <c r="E2237" s="5">
        <v>-29549</v>
      </c>
      <c r="F2237" s="3" t="s">
        <v>124</v>
      </c>
      <c r="G2237" s="3" t="s">
        <v>922</v>
      </c>
      <c r="H2237" s="2" t="s">
        <v>65</v>
      </c>
      <c r="I2237" s="2" t="s">
        <v>5494</v>
      </c>
      <c r="J2237" s="3" t="str">
        <f>HYPERLINK("https://www.boe.es/gazeta/dias/1819/02/04/pdfs/GMD-1819-15.pdf#page=6","Abrir facsímil")</f>
        <v>Abrir facsímil</v>
      </c>
      <c r="K2237" s="3" t="s">
        <v>67</v>
      </c>
    </row>
    <row r="2238" spans="1:11" ht="42" customHeight="1">
      <c r="A2238" s="2" t="s">
        <v>5492</v>
      </c>
      <c r="B2238" s="2" t="s">
        <v>5493</v>
      </c>
      <c r="C2238" s="2" t="s">
        <v>80</v>
      </c>
      <c r="D2238" s="2" t="s">
        <v>81</v>
      </c>
      <c r="E2238" s="5">
        <v>-29495</v>
      </c>
      <c r="F2238" s="3" t="s">
        <v>992</v>
      </c>
      <c r="G2238" s="3" t="s">
        <v>33</v>
      </c>
      <c r="H2238" s="2" t="s">
        <v>65</v>
      </c>
      <c r="I2238" s="2" t="s">
        <v>5495</v>
      </c>
      <c r="J2238" s="3" t="str">
        <f>HYPERLINK("https://www.boe.es/gazeta/dias/1819/03/30/pdfs/GMD-1819-38.pdf#page=6","Abrir facsímil")</f>
        <v>Abrir facsímil</v>
      </c>
      <c r="K2238" s="3" t="s">
        <v>67</v>
      </c>
    </row>
    <row r="2239" spans="1:11" ht="42" customHeight="1">
      <c r="A2239" s="2" t="s">
        <v>5496</v>
      </c>
      <c r="B2239" s="2" t="s">
        <v>5497</v>
      </c>
      <c r="C2239" s="2" t="s">
        <v>63</v>
      </c>
      <c r="D2239" s="2" t="s">
        <v>43</v>
      </c>
      <c r="E2239" s="5">
        <v>-29264</v>
      </c>
      <c r="F2239" s="3" t="s">
        <v>37</v>
      </c>
      <c r="G2239" s="3" t="s">
        <v>38</v>
      </c>
      <c r="H2239" s="2" t="s">
        <v>65</v>
      </c>
      <c r="I2239" s="2" t="s">
        <v>5498</v>
      </c>
      <c r="J2239" s="3" t="str">
        <f>HYPERLINK("https://www.boe.es/gazeta/dias/1819/11/16/pdfs/GMD-1819-141.pdf#page=5","Abrir facsímil")</f>
        <v>Abrir facsímil</v>
      </c>
      <c r="K2239" s="3" t="s">
        <v>67</v>
      </c>
    </row>
    <row r="2240" spans="1:11" ht="42" customHeight="1">
      <c r="A2240" s="2" t="s">
        <v>5499</v>
      </c>
      <c r="B2240" s="2" t="s">
        <v>5500</v>
      </c>
      <c r="C2240" s="2" t="s">
        <v>80</v>
      </c>
      <c r="D2240" s="2" t="s">
        <v>81</v>
      </c>
      <c r="E2240" s="5">
        <v>-29274</v>
      </c>
      <c r="F2240" s="3" t="s">
        <v>247</v>
      </c>
      <c r="G2240" s="3" t="s">
        <v>33</v>
      </c>
      <c r="H2240" s="2" t="s">
        <v>65</v>
      </c>
      <c r="I2240" s="2" t="s">
        <v>5501</v>
      </c>
      <c r="J2240" s="3" t="str">
        <f>HYPERLINK("https://www.boe.es/gazeta/dias/1819/11/06/pdfs/GMD-1819-137.pdf#page=6","Abrir facsímil")</f>
        <v>Abrir facsímil</v>
      </c>
      <c r="K2240" s="3" t="s">
        <v>67</v>
      </c>
    </row>
    <row r="2241" spans="1:11" ht="42" customHeight="1">
      <c r="A2241" s="2" t="s">
        <v>5502</v>
      </c>
      <c r="B2241" s="2" t="s">
        <v>5503</v>
      </c>
      <c r="C2241" s="2" t="s">
        <v>59</v>
      </c>
      <c r="D2241" s="2" t="s">
        <v>18</v>
      </c>
      <c r="E2241" s="5">
        <v>-29269</v>
      </c>
      <c r="F2241" s="3" t="s">
        <v>565</v>
      </c>
      <c r="G2241" s="3" t="s">
        <v>38</v>
      </c>
      <c r="H2241" s="2" t="s">
        <v>21</v>
      </c>
      <c r="I2241" s="2" t="s">
        <v>5504</v>
      </c>
      <c r="J2241" s="3" t="str">
        <f>HYPERLINK("https://www.boe.es/gazeta/dias/1819/11/11/pdfs/GMD-1819-139.pdf#page=5","Abrir facsímil")</f>
        <v>Abrir facsímil</v>
      </c>
      <c r="K2241" s="3" t="s">
        <v>23</v>
      </c>
    </row>
    <row r="2242" spans="1:11" ht="42" customHeight="1">
      <c r="A2242" s="2" t="s">
        <v>5505</v>
      </c>
      <c r="B2242" s="2" t="s">
        <v>5506</v>
      </c>
      <c r="C2242" s="2" t="s">
        <v>59</v>
      </c>
      <c r="D2242" s="2" t="s">
        <v>18</v>
      </c>
      <c r="E2242" s="5">
        <v>-29269</v>
      </c>
      <c r="F2242" s="3" t="s">
        <v>565</v>
      </c>
      <c r="G2242" s="3" t="s">
        <v>38</v>
      </c>
      <c r="H2242" s="2" t="s">
        <v>21</v>
      </c>
      <c r="I2242" s="2" t="s">
        <v>5507</v>
      </c>
      <c r="J2242" s="3" t="str">
        <f>HYPERLINK("https://www.boe.es/gazeta/dias/1819/11/11/pdfs/GMD-1819-139.pdf#page=5","Abrir facsímil")</f>
        <v>Abrir facsímil</v>
      </c>
      <c r="K2242" s="3" t="s">
        <v>23</v>
      </c>
    </row>
    <row r="2243" spans="1:11" ht="42" customHeight="1">
      <c r="A2243" s="2" t="s">
        <v>5508</v>
      </c>
      <c r="B2243" s="2" t="s">
        <v>5509</v>
      </c>
      <c r="C2243" s="2" t="s">
        <v>59</v>
      </c>
      <c r="D2243" s="2" t="s">
        <v>18</v>
      </c>
      <c r="E2243" s="5">
        <v>-29269</v>
      </c>
      <c r="F2243" s="3" t="s">
        <v>565</v>
      </c>
      <c r="G2243" s="3" t="s">
        <v>38</v>
      </c>
      <c r="H2243" s="2" t="s">
        <v>21</v>
      </c>
      <c r="I2243" s="2" t="s">
        <v>5510</v>
      </c>
      <c r="J2243" s="3" t="str">
        <f>HYPERLINK("https://www.boe.es/gazeta/dias/1819/11/11/pdfs/GMD-1819-139.pdf#page=5","Abrir facsímil")</f>
        <v>Abrir facsímil</v>
      </c>
      <c r="K2243" s="3" t="s">
        <v>23</v>
      </c>
    </row>
    <row r="2244" spans="1:11" ht="42" customHeight="1">
      <c r="A2244" s="2" t="s">
        <v>5508</v>
      </c>
      <c r="B2244" s="2" t="s">
        <v>5509</v>
      </c>
      <c r="C2244" s="2" t="s">
        <v>59</v>
      </c>
      <c r="D2244" s="2" t="s">
        <v>18</v>
      </c>
      <c r="E2244" s="5">
        <v>-29222</v>
      </c>
      <c r="F2244" s="3" t="s">
        <v>338</v>
      </c>
      <c r="G2244" s="3" t="s">
        <v>38</v>
      </c>
      <c r="H2244" s="2" t="s">
        <v>21</v>
      </c>
      <c r="I2244" s="2" t="s">
        <v>5511</v>
      </c>
      <c r="J2244" s="3" t="str">
        <f>HYPERLINK("https://www.boe.es/gazeta/dias/1819/12/28/pdfs/GMD-1819-159.pdf#page=5","Abrir facsímil")</f>
        <v>Abrir facsímil</v>
      </c>
      <c r="K2244" s="3" t="s">
        <v>23</v>
      </c>
    </row>
    <row r="2245" spans="1:11" ht="42" customHeight="1">
      <c r="A2245" s="2" t="s">
        <v>5512</v>
      </c>
      <c r="B2245" s="2" t="s">
        <v>5513</v>
      </c>
      <c r="C2245" s="2" t="s">
        <v>17</v>
      </c>
      <c r="D2245" s="2" t="s">
        <v>18</v>
      </c>
      <c r="E2245" s="5">
        <v>-29260</v>
      </c>
      <c r="F2245" s="3" t="s">
        <v>93</v>
      </c>
      <c r="G2245" s="3" t="s">
        <v>33</v>
      </c>
      <c r="H2245" s="2" t="s">
        <v>21</v>
      </c>
      <c r="I2245" s="2" t="s">
        <v>5514</v>
      </c>
      <c r="J2245" s="3" t="str">
        <f>HYPERLINK("https://www.boe.es/gazeta/dias/1819/11/20/pdfs/GMD-1819-143.pdf#page=6","Abrir facsímil")</f>
        <v>Abrir facsímil</v>
      </c>
      <c r="K2245" s="3" t="s">
        <v>23</v>
      </c>
    </row>
    <row r="2246" spans="1:11" ht="42" customHeight="1">
      <c r="A2246" s="2" t="s">
        <v>5515</v>
      </c>
      <c r="B2246" s="2" t="s">
        <v>5516</v>
      </c>
      <c r="C2246" s="2" t="s">
        <v>17</v>
      </c>
      <c r="D2246" s="2" t="s">
        <v>18</v>
      </c>
      <c r="E2246" s="5">
        <v>-29271</v>
      </c>
      <c r="F2246" s="3" t="s">
        <v>32</v>
      </c>
      <c r="G2246" s="3" t="s">
        <v>33</v>
      </c>
      <c r="H2246" s="2" t="s">
        <v>21</v>
      </c>
      <c r="I2246" s="2" t="s">
        <v>5517</v>
      </c>
      <c r="J2246" s="3" t="str">
        <f>HYPERLINK("https://www.boe.es/gazeta/dias/1819/11/09/pdfs/GMD-1819-138.pdf#page=6","Abrir facsímil")</f>
        <v>Abrir facsímil</v>
      </c>
      <c r="K2246" s="3" t="s">
        <v>23</v>
      </c>
    </row>
    <row r="2247" spans="1:11" ht="42" customHeight="1">
      <c r="A2247" s="2" t="s">
        <v>5515</v>
      </c>
      <c r="B2247" s="2" t="s">
        <v>5516</v>
      </c>
      <c r="C2247" s="2" t="s">
        <v>17</v>
      </c>
      <c r="D2247" s="2" t="s">
        <v>18</v>
      </c>
      <c r="E2247" s="5">
        <v>-29264</v>
      </c>
      <c r="F2247" s="3" t="s">
        <v>37</v>
      </c>
      <c r="G2247" s="3" t="s">
        <v>38</v>
      </c>
      <c r="H2247" s="2" t="s">
        <v>21</v>
      </c>
      <c r="I2247" s="2" t="s">
        <v>5518</v>
      </c>
      <c r="J2247" s="3" t="str">
        <f>HYPERLINK("https://www.boe.es/gazeta/dias/1819/11/16/pdfs/GMD-1819-141.pdf#page=5","Abrir facsímil")</f>
        <v>Abrir facsímil</v>
      </c>
      <c r="K2247" s="3" t="s">
        <v>23</v>
      </c>
    </row>
    <row r="2248" spans="1:11" ht="42" customHeight="1">
      <c r="A2248" s="2" t="s">
        <v>5519</v>
      </c>
      <c r="B2248" s="2" t="s">
        <v>5520</v>
      </c>
      <c r="C2248" s="2" t="s">
        <v>17</v>
      </c>
      <c r="D2248" s="2" t="s">
        <v>18</v>
      </c>
      <c r="E2248" s="5">
        <v>-29257</v>
      </c>
      <c r="F2248" s="3" t="s">
        <v>73</v>
      </c>
      <c r="G2248" s="3" t="s">
        <v>33</v>
      </c>
      <c r="H2248" s="2" t="s">
        <v>21</v>
      </c>
      <c r="I2248" s="2" t="s">
        <v>5521</v>
      </c>
      <c r="J2248" s="3" t="str">
        <f>HYPERLINK("https://www.boe.es/gazeta/dias/1819/11/23/pdfs/GMD-1819-144.pdf#page=6","Abrir facsímil")</f>
        <v>Abrir facsímil</v>
      </c>
      <c r="K2248" s="3" t="s">
        <v>23</v>
      </c>
    </row>
    <row r="2249" spans="1:11" ht="42" customHeight="1">
      <c r="A2249" s="2" t="s">
        <v>5522</v>
      </c>
      <c r="B2249" s="2" t="s">
        <v>5523</v>
      </c>
      <c r="C2249" s="2" t="s">
        <v>17</v>
      </c>
      <c r="D2249" s="2" t="s">
        <v>18</v>
      </c>
      <c r="E2249" s="5">
        <v>-29257</v>
      </c>
      <c r="F2249" s="3" t="s">
        <v>73</v>
      </c>
      <c r="G2249" s="3" t="s">
        <v>33</v>
      </c>
      <c r="H2249" s="2" t="s">
        <v>21</v>
      </c>
      <c r="I2249" s="2" t="s">
        <v>5524</v>
      </c>
      <c r="J2249" s="3" t="str">
        <f>HYPERLINK("https://www.boe.es/gazeta/dias/1819/11/23/pdfs/GMD-1819-144.pdf#page=6","Abrir facsímil")</f>
        <v>Abrir facsímil</v>
      </c>
      <c r="K2249" s="3" t="s">
        <v>23</v>
      </c>
    </row>
    <row r="2250" spans="1:11" ht="42" customHeight="1">
      <c r="A2250" s="2" t="s">
        <v>5525</v>
      </c>
      <c r="B2250" s="2" t="s">
        <v>5526</v>
      </c>
      <c r="C2250" s="2" t="s">
        <v>59</v>
      </c>
      <c r="D2250" s="2" t="s">
        <v>18</v>
      </c>
      <c r="E2250" s="5">
        <v>-29470</v>
      </c>
      <c r="F2250" s="3" t="s">
        <v>1188</v>
      </c>
      <c r="G2250" s="3" t="s">
        <v>28</v>
      </c>
      <c r="H2250" s="2" t="s">
        <v>21</v>
      </c>
      <c r="I2250" s="2" t="s">
        <v>5527</v>
      </c>
      <c r="J2250" s="3" t="str">
        <f>HYPERLINK("https://www.boe.es/gazeta/dias/1819/04/24/pdfs/GMD-1819-49.pdf#page=8","Abrir facsímil")</f>
        <v>Abrir facsímil</v>
      </c>
      <c r="K2250" s="3" t="s">
        <v>23</v>
      </c>
    </row>
    <row r="2251" spans="1:11" ht="42" customHeight="1">
      <c r="A2251" s="2" t="s">
        <v>5525</v>
      </c>
      <c r="B2251" s="2" t="s">
        <v>5526</v>
      </c>
      <c r="C2251" s="2" t="s">
        <v>63</v>
      </c>
      <c r="D2251" s="2" t="s">
        <v>43</v>
      </c>
      <c r="E2251" s="5">
        <v>-29281</v>
      </c>
      <c r="F2251" s="3" t="s">
        <v>19</v>
      </c>
      <c r="G2251" s="3" t="s">
        <v>20</v>
      </c>
      <c r="H2251" s="2" t="s">
        <v>21</v>
      </c>
      <c r="I2251" s="2" t="s">
        <v>5528</v>
      </c>
      <c r="J2251" s="3" t="str">
        <f>HYPERLINK("https://www.boe.es/gazeta/dias/1819/10/30/pdfs/GMD-1819-134.pdf#page=10","Abrir facsímil")</f>
        <v>Abrir facsímil</v>
      </c>
      <c r="K2251" s="3" t="s">
        <v>23</v>
      </c>
    </row>
    <row r="2252" spans="1:11" ht="42" customHeight="1">
      <c r="A2252" s="2" t="s">
        <v>5525</v>
      </c>
      <c r="B2252" s="2" t="s">
        <v>5526</v>
      </c>
      <c r="C2252" s="2" t="s">
        <v>59</v>
      </c>
      <c r="D2252" s="2" t="s">
        <v>18</v>
      </c>
      <c r="E2252" s="5">
        <v>-29276</v>
      </c>
      <c r="F2252" s="3" t="s">
        <v>54</v>
      </c>
      <c r="G2252" s="3" t="s">
        <v>55</v>
      </c>
      <c r="H2252" s="2" t="s">
        <v>21</v>
      </c>
      <c r="I2252" s="2" t="s">
        <v>5529</v>
      </c>
      <c r="J2252" s="3" t="str">
        <f>HYPERLINK("https://www.boe.es/gazeta/dias/1819/11/04/pdfs/GMD-1819-136.pdf#page=7","Abrir facsímil")</f>
        <v>Abrir facsímil</v>
      </c>
      <c r="K2252" s="3" t="s">
        <v>23</v>
      </c>
    </row>
    <row r="2253" spans="1:11" ht="42" customHeight="1">
      <c r="A2253" s="2" t="s">
        <v>5525</v>
      </c>
      <c r="B2253" s="2" t="s">
        <v>5526</v>
      </c>
      <c r="C2253" s="2" t="s">
        <v>17</v>
      </c>
      <c r="D2253" s="2" t="s">
        <v>18</v>
      </c>
      <c r="E2253" s="5">
        <v>-29269</v>
      </c>
      <c r="F2253" s="3" t="s">
        <v>565</v>
      </c>
      <c r="G2253" s="3" t="s">
        <v>38</v>
      </c>
      <c r="H2253" s="2" t="s">
        <v>21</v>
      </c>
      <c r="I2253" s="2" t="s">
        <v>5530</v>
      </c>
      <c r="J2253" s="3" t="str">
        <f>HYPERLINK("https://www.boe.es/gazeta/dias/1819/11/11/pdfs/GMD-1819-139.pdf#page=5","Abrir facsímil")</f>
        <v>Abrir facsímil</v>
      </c>
      <c r="K2253" s="3" t="s">
        <v>23</v>
      </c>
    </row>
    <row r="2254" spans="1:11" ht="42" customHeight="1">
      <c r="A2254" s="2" t="s">
        <v>5531</v>
      </c>
      <c r="B2254" s="2" t="s">
        <v>5532</v>
      </c>
      <c r="C2254" s="2" t="s">
        <v>17</v>
      </c>
      <c r="D2254" s="2" t="s">
        <v>18</v>
      </c>
      <c r="E2254" s="5">
        <v>-29248</v>
      </c>
      <c r="F2254" s="3" t="s">
        <v>395</v>
      </c>
      <c r="G2254" s="3" t="s">
        <v>38</v>
      </c>
      <c r="H2254" s="2" t="s">
        <v>21</v>
      </c>
      <c r="I2254" s="2" t="s">
        <v>5533</v>
      </c>
      <c r="J2254" s="3" t="str">
        <f>HYPERLINK("https://www.boe.es/gazeta/dias/1819/12/02/pdfs/GMD-1819-148.pdf#page=5","Abrir facsímil")</f>
        <v>Abrir facsímil</v>
      </c>
      <c r="K2254" s="3" t="s">
        <v>23</v>
      </c>
    </row>
    <row r="2255" spans="1:11" ht="42" customHeight="1">
      <c r="A2255" s="2" t="s">
        <v>5534</v>
      </c>
      <c r="B2255" s="2" t="s">
        <v>5535</v>
      </c>
      <c r="C2255" s="2" t="s">
        <v>17</v>
      </c>
      <c r="D2255" s="2" t="s">
        <v>18</v>
      </c>
      <c r="E2255" s="5">
        <v>-29229</v>
      </c>
      <c r="F2255" s="3" t="s">
        <v>44</v>
      </c>
      <c r="G2255" s="3" t="s">
        <v>38</v>
      </c>
      <c r="H2255" s="2" t="s">
        <v>21</v>
      </c>
      <c r="I2255" s="2" t="s">
        <v>5536</v>
      </c>
      <c r="J2255" s="3" t="str">
        <f>HYPERLINK("https://www.boe.es/gazeta/dias/1819/12/21/pdfs/GMD-1819-156.pdf#page=5","Abrir facsímil")</f>
        <v>Abrir facsímil</v>
      </c>
      <c r="K2255" s="3" t="s">
        <v>23</v>
      </c>
    </row>
    <row r="2256" spans="1:11" ht="42" customHeight="1">
      <c r="A2256" s="2" t="s">
        <v>5537</v>
      </c>
      <c r="B2256" s="2" t="s">
        <v>5538</v>
      </c>
      <c r="C2256" s="2" t="s">
        <v>59</v>
      </c>
      <c r="D2256" s="2" t="s">
        <v>18</v>
      </c>
      <c r="E2256" s="5">
        <v>-29271</v>
      </c>
      <c r="F2256" s="3" t="s">
        <v>32</v>
      </c>
      <c r="G2256" s="3" t="s">
        <v>55</v>
      </c>
      <c r="H2256" s="2" t="s">
        <v>21</v>
      </c>
      <c r="I2256" s="2" t="s">
        <v>5539</v>
      </c>
      <c r="J2256" s="3" t="str">
        <f>HYPERLINK("https://www.boe.es/gazeta/dias/1819/11/09/pdfs/GMD-1819-138.pdf#page=7","Abrir facsímil")</f>
        <v>Abrir facsímil</v>
      </c>
      <c r="K2256" s="3" t="s">
        <v>23</v>
      </c>
    </row>
    <row r="2257" spans="1:11" ht="42" customHeight="1">
      <c r="A2257" s="2" t="s">
        <v>5537</v>
      </c>
      <c r="B2257" s="2" t="s">
        <v>5538</v>
      </c>
      <c r="C2257" s="2" t="s">
        <v>17</v>
      </c>
      <c r="D2257" s="2" t="s">
        <v>18</v>
      </c>
      <c r="E2257" s="5">
        <v>-29264</v>
      </c>
      <c r="F2257" s="3" t="s">
        <v>37</v>
      </c>
      <c r="G2257" s="3" t="s">
        <v>38</v>
      </c>
      <c r="H2257" s="2" t="s">
        <v>21</v>
      </c>
      <c r="I2257" s="2" t="s">
        <v>5540</v>
      </c>
      <c r="J2257" s="3" t="str">
        <f>HYPERLINK("https://www.boe.es/gazeta/dias/1819/11/16/pdfs/GMD-1819-141.pdf#page=5","Abrir facsímil")</f>
        <v>Abrir facsímil</v>
      </c>
      <c r="K2257" s="3" t="s">
        <v>23</v>
      </c>
    </row>
    <row r="2258" spans="1:11" ht="42" customHeight="1">
      <c r="A2258" s="2" t="s">
        <v>5541</v>
      </c>
      <c r="B2258" s="2" t="s">
        <v>5542</v>
      </c>
      <c r="C2258" s="2" t="s">
        <v>26</v>
      </c>
      <c r="D2258" s="2" t="s">
        <v>18</v>
      </c>
      <c r="E2258" s="5">
        <v>-29260</v>
      </c>
      <c r="F2258" s="3" t="s">
        <v>93</v>
      </c>
      <c r="G2258" s="3" t="s">
        <v>33</v>
      </c>
      <c r="H2258" s="2" t="s">
        <v>21</v>
      </c>
      <c r="I2258" s="2" t="s">
        <v>5543</v>
      </c>
      <c r="J2258" s="3" t="str">
        <f>HYPERLINK("https://www.boe.es/gazeta/dias/1819/11/20/pdfs/GMD-1819-143.pdf#page=6","Abrir facsímil")</f>
        <v>Abrir facsímil</v>
      </c>
      <c r="K2258" s="3" t="s">
        <v>23</v>
      </c>
    </row>
    <row r="2259" spans="1:11" ht="42" customHeight="1">
      <c r="A2259" s="2" t="s">
        <v>5544</v>
      </c>
      <c r="B2259" s="2" t="s">
        <v>5545</v>
      </c>
      <c r="C2259" s="2" t="s">
        <v>17</v>
      </c>
      <c r="D2259" s="2" t="s">
        <v>18</v>
      </c>
      <c r="E2259" s="5">
        <v>-29264</v>
      </c>
      <c r="F2259" s="3" t="s">
        <v>37</v>
      </c>
      <c r="G2259" s="3" t="s">
        <v>33</v>
      </c>
      <c r="H2259" s="2" t="s">
        <v>21</v>
      </c>
      <c r="I2259" s="2" t="s">
        <v>5546</v>
      </c>
      <c r="J2259" s="3" t="str">
        <f>HYPERLINK("https://www.boe.es/gazeta/dias/1819/11/16/pdfs/GMD-1819-141.pdf#page=6","Abrir facsímil")</f>
        <v>Abrir facsímil</v>
      </c>
      <c r="K2259" s="3" t="s">
        <v>23</v>
      </c>
    </row>
    <row r="2260" spans="1:11" ht="42" customHeight="1">
      <c r="A2260" s="2" t="s">
        <v>5547</v>
      </c>
      <c r="B2260" s="2" t="s">
        <v>5548</v>
      </c>
      <c r="C2260" s="2" t="s">
        <v>17</v>
      </c>
      <c r="D2260" s="2" t="s">
        <v>18</v>
      </c>
      <c r="E2260" s="5">
        <v>-29271</v>
      </c>
      <c r="F2260" s="3" t="s">
        <v>32</v>
      </c>
      <c r="G2260" s="3" t="s">
        <v>33</v>
      </c>
      <c r="H2260" s="2" t="s">
        <v>21</v>
      </c>
      <c r="I2260" s="2" t="s">
        <v>5549</v>
      </c>
      <c r="J2260" s="3" t="str">
        <f>HYPERLINK("https://www.boe.es/gazeta/dias/1819/11/09/pdfs/GMD-1819-138.pdf#page=6","Abrir facsímil")</f>
        <v>Abrir facsímil</v>
      </c>
      <c r="K2260" s="3" t="s">
        <v>23</v>
      </c>
    </row>
    <row r="2261" spans="1:11" ht="42" customHeight="1">
      <c r="A2261" s="2" t="s">
        <v>5550</v>
      </c>
      <c r="B2261" s="2" t="s">
        <v>5551</v>
      </c>
      <c r="C2261" s="2" t="s">
        <v>59</v>
      </c>
      <c r="D2261" s="2" t="s">
        <v>18</v>
      </c>
      <c r="E2261" s="5">
        <v>-29260</v>
      </c>
      <c r="F2261" s="3" t="s">
        <v>93</v>
      </c>
      <c r="G2261" s="3" t="s">
        <v>33</v>
      </c>
      <c r="H2261" s="2" t="s">
        <v>21</v>
      </c>
      <c r="I2261" s="2" t="s">
        <v>5552</v>
      </c>
      <c r="J2261" s="3" t="str">
        <f>HYPERLINK("https://www.boe.es/gazeta/dias/1819/11/20/pdfs/GMD-1819-143.pdf#page=6","Abrir facsímil")</f>
        <v>Abrir facsímil</v>
      </c>
      <c r="K2261" s="3" t="s">
        <v>23</v>
      </c>
    </row>
    <row r="2262" spans="1:11" ht="42" customHeight="1">
      <c r="A2262" s="2" t="s">
        <v>5553</v>
      </c>
      <c r="B2262" s="2" t="s">
        <v>5554</v>
      </c>
      <c r="C2262" s="2" t="s">
        <v>59</v>
      </c>
      <c r="D2262" s="2" t="s">
        <v>18</v>
      </c>
      <c r="E2262" s="5">
        <v>-29271</v>
      </c>
      <c r="F2262" s="3" t="s">
        <v>32</v>
      </c>
      <c r="G2262" s="3" t="s">
        <v>33</v>
      </c>
      <c r="H2262" s="2" t="s">
        <v>21</v>
      </c>
      <c r="I2262" s="2" t="s">
        <v>5555</v>
      </c>
      <c r="J2262" s="3" t="str">
        <f>HYPERLINK("https://www.boe.es/gazeta/dias/1819/11/09/pdfs/GMD-1819-138.pdf#page=6","Abrir facsímil")</f>
        <v>Abrir facsímil</v>
      </c>
      <c r="K2262" s="3" t="s">
        <v>23</v>
      </c>
    </row>
    <row r="2263" spans="1:11" ht="42" customHeight="1">
      <c r="A2263" s="2" t="s">
        <v>5556</v>
      </c>
      <c r="B2263" s="2" t="s">
        <v>5557</v>
      </c>
      <c r="C2263" s="2" t="s">
        <v>59</v>
      </c>
      <c r="D2263" s="2" t="s">
        <v>18</v>
      </c>
      <c r="E2263" s="5">
        <v>-29449</v>
      </c>
      <c r="F2263" s="3" t="s">
        <v>771</v>
      </c>
      <c r="G2263" s="3" t="s">
        <v>55</v>
      </c>
      <c r="H2263" s="2" t="s">
        <v>21</v>
      </c>
      <c r="I2263" s="2" t="s">
        <v>5558</v>
      </c>
      <c r="J2263" s="3" t="str">
        <f>HYPERLINK("https://www.boe.es/gazeta/dias/1819/05/15/pdfs/GMD-1819-58.pdf#page=7","Abrir facsímil")</f>
        <v>Abrir facsímil</v>
      </c>
      <c r="K2263" s="3" t="s">
        <v>23</v>
      </c>
    </row>
    <row r="2264" spans="1:11" ht="42" customHeight="1">
      <c r="A2264" s="2" t="s">
        <v>5559</v>
      </c>
      <c r="B2264" s="2" t="s">
        <v>5560</v>
      </c>
      <c r="C2264" s="2" t="s">
        <v>17</v>
      </c>
      <c r="D2264" s="2" t="s">
        <v>18</v>
      </c>
      <c r="E2264" s="5">
        <v>-29248</v>
      </c>
      <c r="F2264" s="3" t="s">
        <v>395</v>
      </c>
      <c r="G2264" s="3" t="s">
        <v>38</v>
      </c>
      <c r="H2264" s="2" t="s">
        <v>21</v>
      </c>
      <c r="I2264" s="2" t="s">
        <v>5561</v>
      </c>
      <c r="J2264" s="3" t="str">
        <f>HYPERLINK("https://www.boe.es/gazeta/dias/1819/12/02/pdfs/GMD-1819-148.pdf#page=5","Abrir facsímil")</f>
        <v>Abrir facsímil</v>
      </c>
      <c r="K2264" s="3" t="s">
        <v>23</v>
      </c>
    </row>
    <row r="2265" spans="1:11" ht="42" customHeight="1">
      <c r="A2265" s="2" t="s">
        <v>5562</v>
      </c>
      <c r="B2265" s="2" t="s">
        <v>5563</v>
      </c>
      <c r="C2265" s="2" t="s">
        <v>80</v>
      </c>
      <c r="D2265" s="2" t="s">
        <v>81</v>
      </c>
      <c r="E2265" s="5">
        <v>-29530</v>
      </c>
      <c r="F2265" s="3" t="s">
        <v>202</v>
      </c>
      <c r="G2265" s="3" t="s">
        <v>20</v>
      </c>
      <c r="H2265" s="2" t="s">
        <v>21</v>
      </c>
      <c r="I2265" s="2" t="s">
        <v>5564</v>
      </c>
      <c r="J2265" s="3" t="str">
        <f>HYPERLINK("https://www.boe.es/gazeta/dias/1819/02/23/pdfs/GMD-1819-23.pdf#page=10","Abrir facsímil")</f>
        <v>Abrir facsímil</v>
      </c>
      <c r="K2265" s="3" t="s">
        <v>23</v>
      </c>
    </row>
    <row r="2266" spans="1:11" ht="42" customHeight="1">
      <c r="A2266" s="2" t="s">
        <v>5565</v>
      </c>
      <c r="B2266" s="2" t="s">
        <v>5566</v>
      </c>
      <c r="C2266" s="2" t="s">
        <v>17</v>
      </c>
      <c r="D2266" s="2" t="s">
        <v>18</v>
      </c>
      <c r="E2266" s="5">
        <v>-29264</v>
      </c>
      <c r="F2266" s="3" t="s">
        <v>37</v>
      </c>
      <c r="G2266" s="3" t="s">
        <v>38</v>
      </c>
      <c r="H2266" s="2" t="s">
        <v>21</v>
      </c>
      <c r="I2266" s="2" t="s">
        <v>5567</v>
      </c>
      <c r="J2266" s="3" t="str">
        <f>HYPERLINK("https://www.boe.es/gazeta/dias/1819/11/16/pdfs/GMD-1819-141.pdf#page=5","Abrir facsímil")</f>
        <v>Abrir facsímil</v>
      </c>
      <c r="K2266" s="3" t="s">
        <v>23</v>
      </c>
    </row>
    <row r="2267" spans="1:11" ht="42" customHeight="1">
      <c r="A2267" s="2" t="s">
        <v>5568</v>
      </c>
      <c r="B2267" s="2" t="s">
        <v>5569</v>
      </c>
      <c r="C2267" s="2" t="s">
        <v>59</v>
      </c>
      <c r="D2267" s="2" t="s">
        <v>18</v>
      </c>
      <c r="E2267" s="5">
        <v>-29276</v>
      </c>
      <c r="F2267" s="3" t="s">
        <v>54</v>
      </c>
      <c r="G2267" s="3" t="s">
        <v>55</v>
      </c>
      <c r="H2267" s="2" t="s">
        <v>21</v>
      </c>
      <c r="I2267" s="2" t="s">
        <v>5570</v>
      </c>
      <c r="J2267" s="3" t="str">
        <f>HYPERLINK("https://www.boe.es/gazeta/dias/1819/11/04/pdfs/GMD-1819-136.pdf#page=7","Abrir facsímil")</f>
        <v>Abrir facsímil</v>
      </c>
      <c r="K2267" s="3" t="s">
        <v>23</v>
      </c>
    </row>
    <row r="2268" spans="1:11" ht="42" customHeight="1">
      <c r="A2268" s="2" t="s">
        <v>5571</v>
      </c>
      <c r="B2268" s="2" t="s">
        <v>5572</v>
      </c>
      <c r="C2268" s="2" t="s">
        <v>59</v>
      </c>
      <c r="D2268" s="2" t="s">
        <v>18</v>
      </c>
      <c r="E2268" s="5">
        <v>-29276</v>
      </c>
      <c r="F2268" s="3" t="s">
        <v>54</v>
      </c>
      <c r="G2268" s="3" t="s">
        <v>55</v>
      </c>
      <c r="H2268" s="2" t="s">
        <v>21</v>
      </c>
      <c r="I2268" s="2" t="s">
        <v>5573</v>
      </c>
      <c r="J2268" s="3" t="str">
        <f>HYPERLINK("https://www.boe.es/gazeta/dias/1819/11/04/pdfs/GMD-1819-136.pdf#page=7","Abrir facsímil")</f>
        <v>Abrir facsímil</v>
      </c>
      <c r="K2268" s="3" t="s">
        <v>23</v>
      </c>
    </row>
    <row r="2269" spans="1:11" ht="42" customHeight="1">
      <c r="A2269" s="2" t="s">
        <v>5574</v>
      </c>
      <c r="B2269" s="2" t="s">
        <v>5575</v>
      </c>
      <c r="C2269" s="2" t="s">
        <v>17</v>
      </c>
      <c r="D2269" s="2" t="s">
        <v>18</v>
      </c>
      <c r="E2269" s="5">
        <v>-29260</v>
      </c>
      <c r="F2269" s="3" t="s">
        <v>93</v>
      </c>
      <c r="G2269" s="3" t="s">
        <v>33</v>
      </c>
      <c r="H2269" s="2" t="s">
        <v>21</v>
      </c>
      <c r="I2269" s="2" t="s">
        <v>5576</v>
      </c>
      <c r="J2269" s="3" t="str">
        <f>HYPERLINK("https://www.boe.es/gazeta/dias/1819/11/20/pdfs/GMD-1819-143.pdf#page=6","Abrir facsímil")</f>
        <v>Abrir facsímil</v>
      </c>
      <c r="K2269" s="3" t="s">
        <v>23</v>
      </c>
    </row>
    <row r="2270" spans="1:11" ht="42" customHeight="1">
      <c r="A2270" s="2" t="s">
        <v>5577</v>
      </c>
      <c r="B2270" s="2" t="s">
        <v>5578</v>
      </c>
      <c r="C2270" s="2" t="s">
        <v>80</v>
      </c>
      <c r="D2270" s="2" t="s">
        <v>81</v>
      </c>
      <c r="E2270" s="5">
        <v>-29276</v>
      </c>
      <c r="F2270" s="3" t="s">
        <v>54</v>
      </c>
      <c r="G2270" s="3" t="s">
        <v>55</v>
      </c>
      <c r="H2270" s="2" t="s">
        <v>21</v>
      </c>
      <c r="I2270" s="2" t="s">
        <v>5579</v>
      </c>
      <c r="J2270" s="3" t="str">
        <f>HYPERLINK("https://www.boe.es/gazeta/dias/1819/11/04/pdfs/GMD-1819-136.pdf#page=7","Abrir facsímil")</f>
        <v>Abrir facsímil</v>
      </c>
      <c r="K2270" s="3" t="s">
        <v>23</v>
      </c>
    </row>
    <row r="2271" spans="1:11" ht="42" customHeight="1">
      <c r="A2271" s="2" t="s">
        <v>5580</v>
      </c>
      <c r="B2271" s="2" t="s">
        <v>5580</v>
      </c>
      <c r="C2271" s="2" t="s">
        <v>215</v>
      </c>
      <c r="D2271" s="2" t="s">
        <v>18</v>
      </c>
      <c r="E2271" s="5">
        <v>-29519</v>
      </c>
      <c r="F2271" s="3" t="s">
        <v>142</v>
      </c>
      <c r="G2271" s="3" t="s">
        <v>33</v>
      </c>
      <c r="H2271" s="2" t="s">
        <v>65</v>
      </c>
      <c r="I2271" s="2" t="s">
        <v>5581</v>
      </c>
      <c r="J2271" s="3" t="str">
        <f>HYPERLINK("https://www.boe.es/gazeta/dias/1819/03/06/pdfs/GMD-1819-28.pdf#page=6","Abrir facsímil")</f>
        <v>Abrir facsímil</v>
      </c>
      <c r="K2271" s="3" t="s">
        <v>67</v>
      </c>
    </row>
    <row r="2272" spans="1:11" ht="42" customHeight="1">
      <c r="A2272" s="2" t="s">
        <v>5580</v>
      </c>
      <c r="B2272" s="2" t="s">
        <v>5580</v>
      </c>
      <c r="C2272" s="2" t="s">
        <v>63</v>
      </c>
      <c r="D2272" s="2" t="s">
        <v>43</v>
      </c>
      <c r="E2272" s="5">
        <v>-29505</v>
      </c>
      <c r="F2272" s="3" t="s">
        <v>597</v>
      </c>
      <c r="G2272" s="3" t="s">
        <v>38</v>
      </c>
      <c r="H2272" s="2" t="s">
        <v>65</v>
      </c>
      <c r="I2272" s="2" t="s">
        <v>5582</v>
      </c>
      <c r="J2272" s="3" t="str">
        <f>HYPERLINK("https://www.boe.es/gazeta/dias/1819/03/20/pdfs/GMD-1819-34.pdf#page=5","Abrir facsímil")</f>
        <v>Abrir facsímil</v>
      </c>
      <c r="K2272" s="3" t="s">
        <v>67</v>
      </c>
    </row>
    <row r="2273" spans="1:11" ht="42" customHeight="1">
      <c r="A2273" s="2" t="s">
        <v>5580</v>
      </c>
      <c r="B2273" s="2" t="s">
        <v>5580</v>
      </c>
      <c r="C2273" s="2" t="s">
        <v>63</v>
      </c>
      <c r="D2273" s="2" t="s">
        <v>43</v>
      </c>
      <c r="E2273" s="5">
        <v>-29439</v>
      </c>
      <c r="F2273" s="3" t="s">
        <v>1101</v>
      </c>
      <c r="G2273" s="3" t="s">
        <v>38</v>
      </c>
      <c r="H2273" s="2" t="s">
        <v>65</v>
      </c>
      <c r="I2273" s="2" t="s">
        <v>5583</v>
      </c>
      <c r="J2273" s="3" t="str">
        <f>HYPERLINK("https://www.boe.es/gazeta/dias/1819/05/25/pdfs/GMD-1819-62.pdf#page=5","Abrir facsímil")</f>
        <v>Abrir facsímil</v>
      </c>
      <c r="K2273" s="3" t="s">
        <v>67</v>
      </c>
    </row>
    <row r="2274" spans="1:11" ht="42" customHeight="1">
      <c r="A2274" s="2" t="s">
        <v>5580</v>
      </c>
      <c r="B2274" s="2" t="s">
        <v>5580</v>
      </c>
      <c r="C2274" s="2" t="s">
        <v>80</v>
      </c>
      <c r="D2274" s="2" t="s">
        <v>81</v>
      </c>
      <c r="E2274" s="5">
        <v>-29400</v>
      </c>
      <c r="F2274" s="3" t="s">
        <v>2181</v>
      </c>
      <c r="G2274" s="3" t="s">
        <v>2182</v>
      </c>
      <c r="H2274" s="2" t="s">
        <v>65</v>
      </c>
      <c r="I2274" s="2" t="s">
        <v>5584</v>
      </c>
      <c r="J2274" s="3" t="str">
        <f>HYPERLINK("https://www.boe.es/gazeta/dias/1819/07/03/pdfs/GMD-1819-80.pdf#page=8","Abrir facsímil")</f>
        <v>Abrir facsímil</v>
      </c>
      <c r="K2274" s="3" t="s">
        <v>67</v>
      </c>
    </row>
    <row r="2275" spans="1:11" ht="42" customHeight="1">
      <c r="A2275" s="2" t="s">
        <v>5580</v>
      </c>
      <c r="B2275" s="2" t="s">
        <v>5580</v>
      </c>
      <c r="C2275" s="2" t="s">
        <v>59</v>
      </c>
      <c r="D2275" s="2" t="s">
        <v>18</v>
      </c>
      <c r="E2275" s="5">
        <v>-29397</v>
      </c>
      <c r="F2275" s="3" t="s">
        <v>599</v>
      </c>
      <c r="G2275" s="3" t="s">
        <v>33</v>
      </c>
      <c r="H2275" s="2" t="s">
        <v>65</v>
      </c>
      <c r="I2275" s="2" t="s">
        <v>5585</v>
      </c>
      <c r="J2275" s="3" t="str">
        <f>HYPERLINK("https://www.boe.es/gazeta/dias/1819/07/06/pdfs/GMD-1819-81.pdf#page=6","Abrir facsímil")</f>
        <v>Abrir facsímil</v>
      </c>
      <c r="K2275" s="3" t="s">
        <v>67</v>
      </c>
    </row>
    <row r="2276" spans="1:11" ht="42" customHeight="1">
      <c r="A2276" s="2" t="s">
        <v>5580</v>
      </c>
      <c r="B2276" s="2" t="s">
        <v>5580</v>
      </c>
      <c r="C2276" s="2" t="s">
        <v>26</v>
      </c>
      <c r="D2276" s="2" t="s">
        <v>18</v>
      </c>
      <c r="E2276" s="5">
        <v>-29393</v>
      </c>
      <c r="F2276" s="3" t="s">
        <v>536</v>
      </c>
      <c r="G2276" s="3" t="s">
        <v>28</v>
      </c>
      <c r="H2276" s="2" t="s">
        <v>65</v>
      </c>
      <c r="I2276" s="2" t="s">
        <v>5586</v>
      </c>
      <c r="J2276" s="3" t="str">
        <f>HYPERLINK("https://www.boe.es/gazeta/dias/1819/07/10/pdfs/GMD-1819-83.pdf#page=8","Abrir facsímil")</f>
        <v>Abrir facsímil</v>
      </c>
      <c r="K2276" s="3" t="s">
        <v>67</v>
      </c>
    </row>
    <row r="2277" spans="1:11" ht="42" customHeight="1">
      <c r="A2277" s="2" t="s">
        <v>5580</v>
      </c>
      <c r="B2277" s="2" t="s">
        <v>5580</v>
      </c>
      <c r="C2277" s="2" t="s">
        <v>26</v>
      </c>
      <c r="D2277" s="2" t="s">
        <v>18</v>
      </c>
      <c r="E2277" s="5">
        <v>-29358</v>
      </c>
      <c r="F2277" s="3" t="s">
        <v>170</v>
      </c>
      <c r="G2277" s="3" t="s">
        <v>28</v>
      </c>
      <c r="H2277" s="2" t="s">
        <v>65</v>
      </c>
      <c r="I2277" s="2" t="s">
        <v>5587</v>
      </c>
      <c r="J2277" s="3" t="str">
        <f>HYPERLINK("https://www.boe.es/gazeta/dias/1819/08/14/pdfs/GMD-1819-98.pdf#page=8","Abrir facsímil")</f>
        <v>Abrir facsímil</v>
      </c>
      <c r="K2277" s="3" t="s">
        <v>67</v>
      </c>
    </row>
    <row r="2278" spans="1:11" ht="42" customHeight="1">
      <c r="A2278" s="2" t="s">
        <v>5580</v>
      </c>
      <c r="B2278" s="2" t="s">
        <v>5580</v>
      </c>
      <c r="C2278" s="2" t="s">
        <v>26</v>
      </c>
      <c r="D2278" s="2" t="s">
        <v>18</v>
      </c>
      <c r="E2278" s="5">
        <v>-29309</v>
      </c>
      <c r="F2278" s="3" t="s">
        <v>476</v>
      </c>
      <c r="G2278" s="3" t="s">
        <v>692</v>
      </c>
      <c r="H2278" s="2" t="s">
        <v>65</v>
      </c>
      <c r="I2278" s="2" t="s">
        <v>5588</v>
      </c>
      <c r="J2278" s="3" t="str">
        <f>HYPERLINK("https://www.boe.es/gazeta/dias/1819/10/02/pdfs/GMD-1819-121.pdf#page=8","Abrir facsímil")</f>
        <v>Abrir facsímil</v>
      </c>
      <c r="K2278" s="3" t="s">
        <v>67</v>
      </c>
    </row>
    <row r="2279" spans="1:11" ht="42" customHeight="1">
      <c r="A2279" s="2" t="s">
        <v>5580</v>
      </c>
      <c r="B2279" s="2" t="s">
        <v>5580</v>
      </c>
      <c r="C2279" s="2" t="s">
        <v>63</v>
      </c>
      <c r="D2279" s="2" t="s">
        <v>43</v>
      </c>
      <c r="E2279" s="5">
        <v>-29290</v>
      </c>
      <c r="F2279" s="3" t="s">
        <v>622</v>
      </c>
      <c r="G2279" s="3" t="s">
        <v>28</v>
      </c>
      <c r="H2279" s="2" t="s">
        <v>65</v>
      </c>
      <c r="I2279" s="2" t="s">
        <v>5589</v>
      </c>
      <c r="J2279" s="3" t="str">
        <f>HYPERLINK("https://www.boe.es/gazeta/dias/1819/10/21/pdfs/GMD-1819-129.pdf#page=8","Abrir facsímil")</f>
        <v>Abrir facsímil</v>
      </c>
      <c r="K2279" s="3" t="s">
        <v>67</v>
      </c>
    </row>
    <row r="2280" spans="1:11" ht="42" customHeight="1">
      <c r="A2280" s="2" t="s">
        <v>5580</v>
      </c>
      <c r="B2280" s="2" t="s">
        <v>5580</v>
      </c>
      <c r="C2280" s="2" t="s">
        <v>215</v>
      </c>
      <c r="D2280" s="2" t="s">
        <v>18</v>
      </c>
      <c r="E2280" s="5">
        <v>-29241</v>
      </c>
      <c r="F2280" s="3" t="s">
        <v>1382</v>
      </c>
      <c r="G2280" s="3" t="s">
        <v>3247</v>
      </c>
      <c r="H2280" s="2" t="s">
        <v>65</v>
      </c>
      <c r="I2280" s="2" t="s">
        <v>5590</v>
      </c>
      <c r="J2280" s="3" t="str">
        <f>HYPERLINK("https://www.boe.es/gazeta/dias/1819/12/09/pdfs/GMD-1819-151.pdf#page=8","Abrir facsímil")</f>
        <v>Abrir facsímil</v>
      </c>
      <c r="K2280" s="3" t="s">
        <v>67</v>
      </c>
    </row>
    <row r="2281" spans="1:11" ht="42" customHeight="1">
      <c r="A2281" s="2" t="s">
        <v>5580</v>
      </c>
      <c r="B2281" s="2" t="s">
        <v>5580</v>
      </c>
      <c r="C2281" s="2" t="s">
        <v>63</v>
      </c>
      <c r="D2281" s="2" t="s">
        <v>43</v>
      </c>
      <c r="E2281" s="5">
        <v>-29222</v>
      </c>
      <c r="F2281" s="3" t="s">
        <v>338</v>
      </c>
      <c r="G2281" s="3" t="s">
        <v>988</v>
      </c>
      <c r="H2281" s="2" t="s">
        <v>65</v>
      </c>
      <c r="I2281" s="2" t="s">
        <v>5591</v>
      </c>
      <c r="J2281" s="3" t="str">
        <f>HYPERLINK("https://www.boe.es/gazeta/dias/1819/12/28/pdfs/GMD-1819-159.pdf#page=4","Abrir facsímil")</f>
        <v>Abrir facsímil</v>
      </c>
      <c r="K2281" s="3" t="s">
        <v>67</v>
      </c>
    </row>
    <row r="2282" spans="1:11" ht="42" customHeight="1">
      <c r="A2282" s="2" t="s">
        <v>5592</v>
      </c>
      <c r="B2282" s="2" t="s">
        <v>5593</v>
      </c>
      <c r="C2282" s="2" t="s">
        <v>63</v>
      </c>
      <c r="D2282" s="2" t="s">
        <v>43</v>
      </c>
      <c r="E2282" s="5">
        <v>-29561</v>
      </c>
      <c r="F2282" s="3" t="s">
        <v>290</v>
      </c>
      <c r="G2282" s="3" t="s">
        <v>55</v>
      </c>
      <c r="H2282" s="2" t="s">
        <v>65</v>
      </c>
      <c r="I2282" s="2" t="s">
        <v>5594</v>
      </c>
      <c r="J2282" s="3" t="str">
        <f>HYPERLINK("https://www.boe.es/gazeta/dias/1819/01/23/pdfs/GMD-1819-10.pdf#page=7","Abrir facsímil")</f>
        <v>Abrir facsímil</v>
      </c>
      <c r="K2282" s="3" t="s">
        <v>67</v>
      </c>
    </row>
    <row r="2283" spans="1:11" ht="42" customHeight="1">
      <c r="A2283" s="2" t="s">
        <v>5595</v>
      </c>
      <c r="B2283" s="2" t="s">
        <v>5596</v>
      </c>
      <c r="C2283" s="2" t="s">
        <v>59</v>
      </c>
      <c r="D2283" s="2" t="s">
        <v>18</v>
      </c>
      <c r="E2283" s="5">
        <v>-29337</v>
      </c>
      <c r="F2283" s="3" t="s">
        <v>1098</v>
      </c>
      <c r="G2283" s="3" t="s">
        <v>28</v>
      </c>
      <c r="H2283" s="2" t="s">
        <v>65</v>
      </c>
      <c r="I2283" s="2" t="s">
        <v>5597</v>
      </c>
      <c r="J2283" s="3" t="str">
        <f>HYPERLINK("https://www.boe.es/gazeta/dias/1819/09/04/pdfs/GMD-1819-108.pdf#page=8","Abrir facsímil")</f>
        <v>Abrir facsímil</v>
      </c>
      <c r="K2283" s="3" t="s">
        <v>67</v>
      </c>
    </row>
    <row r="2284" spans="1:11" ht="42" customHeight="1">
      <c r="A2284" s="2" t="s">
        <v>5598</v>
      </c>
      <c r="B2284" s="2" t="s">
        <v>5599</v>
      </c>
      <c r="C2284" s="2" t="s">
        <v>59</v>
      </c>
      <c r="D2284" s="2" t="s">
        <v>18</v>
      </c>
      <c r="E2284" s="5">
        <v>-29369</v>
      </c>
      <c r="F2284" s="3" t="s">
        <v>231</v>
      </c>
      <c r="G2284" s="3" t="s">
        <v>33</v>
      </c>
      <c r="H2284" s="2" t="s">
        <v>65</v>
      </c>
      <c r="I2284" s="2" t="s">
        <v>5600</v>
      </c>
      <c r="J2284" s="3" t="str">
        <f>HYPERLINK("https://www.boe.es/gazeta/dias/1819/08/03/pdfs/GMD-1819-93.pdf#page=6","Abrir facsímil")</f>
        <v>Abrir facsímil</v>
      </c>
      <c r="K2284" s="3" t="s">
        <v>67</v>
      </c>
    </row>
    <row r="2285" spans="1:11" ht="42" customHeight="1">
      <c r="A2285" s="2" t="s">
        <v>5601</v>
      </c>
      <c r="B2285" s="2" t="s">
        <v>5602</v>
      </c>
      <c r="C2285" s="2" t="s">
        <v>80</v>
      </c>
      <c r="D2285" s="2" t="s">
        <v>81</v>
      </c>
      <c r="E2285" s="5">
        <v>-29544</v>
      </c>
      <c r="F2285" s="3" t="s">
        <v>531</v>
      </c>
      <c r="G2285" s="3" t="s">
        <v>38</v>
      </c>
      <c r="H2285" s="2" t="s">
        <v>65</v>
      </c>
      <c r="I2285" s="2" t="s">
        <v>5603</v>
      </c>
      <c r="J2285" s="3" t="str">
        <f>HYPERLINK("https://www.boe.es/gazeta/dias/1819/02/09/pdfs/GMD-1819-17.pdf#page=5","Abrir facsímil")</f>
        <v>Abrir facsímil</v>
      </c>
      <c r="K2285" s="3" t="s">
        <v>67</v>
      </c>
    </row>
    <row r="2286" spans="1:11" ht="42" customHeight="1">
      <c r="A2286" s="2" t="s">
        <v>5601</v>
      </c>
      <c r="B2286" s="2" t="s">
        <v>5602</v>
      </c>
      <c r="C2286" s="2" t="s">
        <v>63</v>
      </c>
      <c r="D2286" s="2" t="s">
        <v>43</v>
      </c>
      <c r="E2286" s="5">
        <v>-29442</v>
      </c>
      <c r="F2286" s="3" t="s">
        <v>427</v>
      </c>
      <c r="G2286" s="3" t="s">
        <v>28</v>
      </c>
      <c r="H2286" s="2" t="s">
        <v>65</v>
      </c>
      <c r="I2286" s="2" t="s">
        <v>5604</v>
      </c>
      <c r="J2286" s="3" t="str">
        <f>HYPERLINK("https://www.boe.es/gazeta/dias/1819/05/22/pdfs/GMD-1819-61.pdf#page=8","Abrir facsímil")</f>
        <v>Abrir facsímil</v>
      </c>
      <c r="K2286" s="3" t="s">
        <v>67</v>
      </c>
    </row>
    <row r="2287" spans="1:11" ht="42" customHeight="1">
      <c r="A2287" s="2" t="s">
        <v>5605</v>
      </c>
      <c r="B2287" s="2" t="s">
        <v>5606</v>
      </c>
      <c r="C2287" s="2" t="s">
        <v>80</v>
      </c>
      <c r="D2287" s="2" t="s">
        <v>81</v>
      </c>
      <c r="E2287" s="5">
        <v>-29304</v>
      </c>
      <c r="F2287" s="3" t="s">
        <v>519</v>
      </c>
      <c r="G2287" s="3" t="s">
        <v>552</v>
      </c>
      <c r="H2287" s="2" t="s">
        <v>65</v>
      </c>
      <c r="I2287" s="2" t="s">
        <v>5607</v>
      </c>
      <c r="J2287" s="3" t="str">
        <f>HYPERLINK("https://www.boe.es/gazeta/dias/1819/10/07/pdfs/GMD-1819-123.pdf#page=6","Abrir facsímil")</f>
        <v>Abrir facsímil</v>
      </c>
      <c r="K2287" s="3" t="s">
        <v>67</v>
      </c>
    </row>
    <row r="2288" spans="1:11" ht="42" customHeight="1">
      <c r="A2288" s="2" t="s">
        <v>5608</v>
      </c>
      <c r="B2288" s="2" t="s">
        <v>5609</v>
      </c>
      <c r="C2288" s="2" t="s">
        <v>63</v>
      </c>
      <c r="D2288" s="2" t="s">
        <v>43</v>
      </c>
      <c r="E2288" s="5">
        <v>-29316</v>
      </c>
      <c r="F2288" s="3" t="s">
        <v>166</v>
      </c>
      <c r="G2288" s="3" t="s">
        <v>28</v>
      </c>
      <c r="H2288" s="2" t="s">
        <v>65</v>
      </c>
      <c r="I2288" s="2" t="s">
        <v>5610</v>
      </c>
      <c r="J2288" s="3" t="str">
        <f>HYPERLINK("https://www.boe.es/gazeta/dias/1819/09/25/pdfs/GMD-1819-118.pdf#page=8","Abrir facsímil")</f>
        <v>Abrir facsímil</v>
      </c>
      <c r="K2288" s="3" t="s">
        <v>67</v>
      </c>
    </row>
    <row r="2289" spans="1:11" ht="42" customHeight="1">
      <c r="A2289" s="2" t="s">
        <v>5611</v>
      </c>
      <c r="B2289" s="2" t="s">
        <v>5611</v>
      </c>
      <c r="C2289" s="2" t="s">
        <v>80</v>
      </c>
      <c r="D2289" s="2" t="s">
        <v>81</v>
      </c>
      <c r="E2289" s="5">
        <v>-29309</v>
      </c>
      <c r="F2289" s="3" t="s">
        <v>476</v>
      </c>
      <c r="G2289" s="3" t="s">
        <v>296</v>
      </c>
      <c r="H2289" s="2" t="s">
        <v>65</v>
      </c>
      <c r="I2289" s="2" t="s">
        <v>5612</v>
      </c>
      <c r="J2289" s="3" t="str">
        <f>HYPERLINK("https://www.boe.es/gazeta/dias/1819/10/02/pdfs/GMD-1819-121.pdf#page=4","Abrir facsímil")</f>
        <v>Abrir facsímil</v>
      </c>
      <c r="K2289" s="3" t="s">
        <v>67</v>
      </c>
    </row>
    <row r="2290" spans="1:11" ht="42" customHeight="1">
      <c r="A2290" s="2" t="s">
        <v>5613</v>
      </c>
      <c r="B2290" s="2" t="s">
        <v>5613</v>
      </c>
      <c r="C2290" s="2" t="s">
        <v>215</v>
      </c>
      <c r="D2290" s="2" t="s">
        <v>18</v>
      </c>
      <c r="E2290" s="5">
        <v>-29537</v>
      </c>
      <c r="F2290" s="3" t="s">
        <v>593</v>
      </c>
      <c r="G2290" s="3" t="s">
        <v>259</v>
      </c>
      <c r="H2290" s="2" t="s">
        <v>65</v>
      </c>
      <c r="I2290" s="2" t="s">
        <v>5614</v>
      </c>
      <c r="J2290" s="3" t="str">
        <f>HYPERLINK("https://www.boe.es/gazeta/dias/1819/02/16/pdfs/GMD-1819-20.pdf#page=2","Abrir facsímil")</f>
        <v>Abrir facsímil</v>
      </c>
      <c r="K2290" s="3" t="s">
        <v>67</v>
      </c>
    </row>
    <row r="2291" spans="1:11" ht="42" customHeight="1">
      <c r="A2291" s="2" t="s">
        <v>5615</v>
      </c>
      <c r="B2291" s="2" t="s">
        <v>5616</v>
      </c>
      <c r="C2291" s="2" t="s">
        <v>80</v>
      </c>
      <c r="D2291" s="2" t="s">
        <v>81</v>
      </c>
      <c r="E2291" s="5">
        <v>-29579</v>
      </c>
      <c r="F2291" s="3" t="s">
        <v>186</v>
      </c>
      <c r="G2291" s="3" t="s">
        <v>102</v>
      </c>
      <c r="H2291" s="2" t="s">
        <v>65</v>
      </c>
      <c r="I2291" s="2" t="s">
        <v>5617</v>
      </c>
      <c r="J2291" s="3" t="str">
        <f>HYPERLINK("https://www.boe.es/gazeta/dias/1819/01/05/pdfs/GMD-1819-2.pdf#page=3","Abrir facsímil")</f>
        <v>Abrir facsímil</v>
      </c>
      <c r="K2291" s="3" t="s">
        <v>67</v>
      </c>
    </row>
    <row r="2292" spans="1:11" ht="42" customHeight="1">
      <c r="A2292" s="2" t="s">
        <v>5618</v>
      </c>
      <c r="B2292" s="2" t="s">
        <v>5619</v>
      </c>
      <c r="C2292" s="2" t="s">
        <v>63</v>
      </c>
      <c r="D2292" s="2" t="s">
        <v>43</v>
      </c>
      <c r="E2292" s="5">
        <v>-29430</v>
      </c>
      <c r="F2292" s="3" t="s">
        <v>178</v>
      </c>
      <c r="G2292" s="3" t="s">
        <v>55</v>
      </c>
      <c r="H2292" s="2" t="s">
        <v>65</v>
      </c>
      <c r="I2292" s="2" t="s">
        <v>5620</v>
      </c>
      <c r="J2292" s="3" t="str">
        <f>HYPERLINK("https://www.boe.es/gazeta/dias/1819/06/03/pdfs/GMD-1819-66.pdf#page=7","Abrir facsímil")</f>
        <v>Abrir facsímil</v>
      </c>
      <c r="K2292" s="3" t="s">
        <v>67</v>
      </c>
    </row>
    <row r="2293" spans="1:11" ht="42" customHeight="1">
      <c r="A2293" s="2" t="s">
        <v>5621</v>
      </c>
      <c r="B2293" s="2" t="s">
        <v>5622</v>
      </c>
      <c r="C2293" s="2" t="s">
        <v>136</v>
      </c>
      <c r="D2293" s="2" t="s">
        <v>18</v>
      </c>
      <c r="E2293" s="5">
        <v>-29267</v>
      </c>
      <c r="F2293" s="3" t="s">
        <v>370</v>
      </c>
      <c r="G2293" s="3" t="s">
        <v>33</v>
      </c>
      <c r="H2293" s="2" t="s">
        <v>65</v>
      </c>
      <c r="I2293" s="2" t="s">
        <v>5623</v>
      </c>
      <c r="J2293" s="3" t="str">
        <f>HYPERLINK("https://www.boe.es/gazeta/dias/1819/11/13/pdfs/GMD-1819-140.pdf#page=6","Abrir facsímil")</f>
        <v>Abrir facsímil</v>
      </c>
      <c r="K2293" s="3" t="s">
        <v>67</v>
      </c>
    </row>
    <row r="2294" spans="1:11" ht="42" customHeight="1">
      <c r="A2294" s="2" t="s">
        <v>5624</v>
      </c>
      <c r="B2294" s="2" t="s">
        <v>5625</v>
      </c>
      <c r="C2294" s="2" t="s">
        <v>136</v>
      </c>
      <c r="D2294" s="2" t="s">
        <v>18</v>
      </c>
      <c r="E2294" s="5">
        <v>-29540</v>
      </c>
      <c r="F2294" s="3" t="s">
        <v>154</v>
      </c>
      <c r="G2294" s="3" t="s">
        <v>28</v>
      </c>
      <c r="H2294" s="2" t="s">
        <v>65</v>
      </c>
      <c r="I2294" s="2" t="s">
        <v>5626</v>
      </c>
      <c r="J2294" s="3" t="str">
        <f>HYPERLINK("https://www.boe.es/gazeta/dias/1819/02/13/pdfs/GMD-1819-19.pdf#page=8","Abrir facsímil")</f>
        <v>Abrir facsímil</v>
      </c>
      <c r="K2294" s="3" t="s">
        <v>67</v>
      </c>
    </row>
    <row r="2295" spans="1:11" ht="42" customHeight="1">
      <c r="A2295" s="2" t="s">
        <v>5627</v>
      </c>
      <c r="B2295" s="2" t="s">
        <v>5628</v>
      </c>
      <c r="C2295" s="2" t="s">
        <v>80</v>
      </c>
      <c r="D2295" s="2" t="s">
        <v>81</v>
      </c>
      <c r="E2295" s="5">
        <v>-29276</v>
      </c>
      <c r="F2295" s="3" t="s">
        <v>54</v>
      </c>
      <c r="G2295" s="3" t="s">
        <v>55</v>
      </c>
      <c r="H2295" s="2" t="s">
        <v>65</v>
      </c>
      <c r="I2295" s="2" t="s">
        <v>5629</v>
      </c>
      <c r="J2295" s="3" t="str">
        <f>HYPERLINK("https://www.boe.es/gazeta/dias/1819/11/04/pdfs/GMD-1819-136.pdf#page=7","Abrir facsímil")</f>
        <v>Abrir facsímil</v>
      </c>
      <c r="K2295" s="3" t="s">
        <v>67</v>
      </c>
    </row>
    <row r="2296" spans="1:11" ht="42" customHeight="1">
      <c r="A2296" s="2" t="s">
        <v>5630</v>
      </c>
      <c r="B2296" s="2" t="s">
        <v>5631</v>
      </c>
      <c r="C2296" s="2" t="s">
        <v>80</v>
      </c>
      <c r="D2296" s="2" t="s">
        <v>81</v>
      </c>
      <c r="E2296" s="5">
        <v>-29458</v>
      </c>
      <c r="F2296" s="3" t="s">
        <v>766</v>
      </c>
      <c r="G2296" s="3" t="s">
        <v>38</v>
      </c>
      <c r="H2296" s="2" t="s">
        <v>65</v>
      </c>
      <c r="I2296" s="2" t="s">
        <v>5632</v>
      </c>
      <c r="J2296" s="3" t="str">
        <f>HYPERLINK("https://www.boe.es/gazeta/dias/1819/05/06/pdfs/GMD-1819-54.pdf#page=5","Abrir facsímil")</f>
        <v>Abrir facsímil</v>
      </c>
      <c r="K2296" s="3" t="s">
        <v>67</v>
      </c>
    </row>
    <row r="2297" spans="1:11" ht="42" customHeight="1">
      <c r="A2297" s="2" t="s">
        <v>5633</v>
      </c>
      <c r="B2297" s="2" t="s">
        <v>5634</v>
      </c>
      <c r="C2297" s="2" t="s">
        <v>80</v>
      </c>
      <c r="D2297" s="2" t="s">
        <v>81</v>
      </c>
      <c r="E2297" s="5">
        <v>-29493</v>
      </c>
      <c r="F2297" s="3" t="s">
        <v>404</v>
      </c>
      <c r="G2297" s="3" t="s">
        <v>38</v>
      </c>
      <c r="H2297" s="2" t="s">
        <v>65</v>
      </c>
      <c r="I2297" s="2" t="s">
        <v>5635</v>
      </c>
      <c r="J2297" s="3" t="str">
        <f>HYPERLINK("https://www.boe.es/gazeta/dias/1819/04/01/pdfs/GMD-1819-39.pdf#page=5","Abrir facsímil")</f>
        <v>Abrir facsímil</v>
      </c>
      <c r="K2297" s="3" t="s">
        <v>67</v>
      </c>
    </row>
    <row r="2298" spans="1:11" ht="42" customHeight="1">
      <c r="A2298" s="2" t="s">
        <v>5636</v>
      </c>
      <c r="B2298" s="2" t="s">
        <v>5637</v>
      </c>
      <c r="C2298" s="2" t="s">
        <v>26</v>
      </c>
      <c r="D2298" s="2" t="s">
        <v>18</v>
      </c>
      <c r="E2298" s="5">
        <v>-29430</v>
      </c>
      <c r="F2298" s="3" t="s">
        <v>178</v>
      </c>
      <c r="G2298" s="3" t="s">
        <v>33</v>
      </c>
      <c r="H2298" s="2" t="s">
        <v>65</v>
      </c>
      <c r="I2298" s="2" t="s">
        <v>5638</v>
      </c>
      <c r="J2298" s="3" t="str">
        <f>HYPERLINK("https://www.boe.es/gazeta/dias/1819/06/03/pdfs/GMD-1819-66.pdf#page=6","Abrir facsímil")</f>
        <v>Abrir facsímil</v>
      </c>
      <c r="K2298" s="3" t="s">
        <v>67</v>
      </c>
    </row>
    <row r="2299" spans="1:11" ht="42" customHeight="1">
      <c r="A2299" s="2" t="s">
        <v>5639</v>
      </c>
      <c r="B2299" s="2" t="s">
        <v>5640</v>
      </c>
      <c r="C2299" s="2" t="s">
        <v>59</v>
      </c>
      <c r="D2299" s="2" t="s">
        <v>18</v>
      </c>
      <c r="E2299" s="5">
        <v>-29264</v>
      </c>
      <c r="F2299" s="3" t="s">
        <v>37</v>
      </c>
      <c r="G2299" s="3" t="s">
        <v>38</v>
      </c>
      <c r="H2299" s="2" t="s">
        <v>65</v>
      </c>
      <c r="I2299" s="2" t="s">
        <v>5641</v>
      </c>
      <c r="J2299" s="3" t="str">
        <f>HYPERLINK("https://www.boe.es/gazeta/dias/1819/11/16/pdfs/GMD-1819-141.pdf#page=5","Abrir facsímil")</f>
        <v>Abrir facsímil</v>
      </c>
      <c r="K2299" s="3" t="s">
        <v>67</v>
      </c>
    </row>
    <row r="2300" spans="1:11" ht="42" customHeight="1">
      <c r="A2300" s="2" t="s">
        <v>5642</v>
      </c>
      <c r="B2300" s="2" t="s">
        <v>5643</v>
      </c>
      <c r="C2300" s="2" t="s">
        <v>215</v>
      </c>
      <c r="D2300" s="2" t="s">
        <v>18</v>
      </c>
      <c r="E2300" s="5">
        <v>-29416</v>
      </c>
      <c r="F2300" s="3" t="s">
        <v>251</v>
      </c>
      <c r="G2300" s="3" t="s">
        <v>55</v>
      </c>
      <c r="H2300" s="2" t="s">
        <v>65</v>
      </c>
      <c r="I2300" s="2" t="s">
        <v>5644</v>
      </c>
      <c r="J2300" s="3" t="str">
        <f>HYPERLINK("https://www.boe.es/gazeta/dias/1819/06/17/pdfs/GMD-1819-73.pdf#page=7","Abrir facsímil")</f>
        <v>Abrir facsímil</v>
      </c>
      <c r="K2300" s="3" t="s">
        <v>67</v>
      </c>
    </row>
    <row r="2301" spans="1:11" ht="42" customHeight="1">
      <c r="A2301" s="2" t="s">
        <v>5645</v>
      </c>
      <c r="B2301" s="2" t="s">
        <v>5646</v>
      </c>
      <c r="C2301" s="2" t="s">
        <v>80</v>
      </c>
      <c r="D2301" s="2" t="s">
        <v>81</v>
      </c>
      <c r="E2301" s="5">
        <v>-29425</v>
      </c>
      <c r="F2301" s="3" t="s">
        <v>110</v>
      </c>
      <c r="G2301" s="3" t="s">
        <v>33</v>
      </c>
      <c r="H2301" s="2" t="s">
        <v>65</v>
      </c>
      <c r="I2301" s="2" t="s">
        <v>5647</v>
      </c>
      <c r="J2301" s="3" t="str">
        <f>HYPERLINK("https://www.boe.es/gazeta/dias/1819/06/08/pdfs/GMD-1819-68.pdf#page=6","Abrir facsímil")</f>
        <v>Abrir facsímil</v>
      </c>
      <c r="K2301" s="3" t="s">
        <v>67</v>
      </c>
    </row>
    <row r="2302" spans="1:11" ht="42" customHeight="1">
      <c r="A2302" s="2" t="s">
        <v>5648</v>
      </c>
      <c r="B2302" s="2" t="s">
        <v>5648</v>
      </c>
      <c r="C2302" s="2" t="s">
        <v>59</v>
      </c>
      <c r="D2302" s="2" t="s">
        <v>454</v>
      </c>
      <c r="E2302" s="5">
        <v>-29324</v>
      </c>
      <c r="F2302" s="3" t="s">
        <v>914</v>
      </c>
      <c r="G2302" s="3" t="s">
        <v>239</v>
      </c>
      <c r="H2302" s="2" t="s">
        <v>65</v>
      </c>
      <c r="I2302" s="2" t="s">
        <v>5649</v>
      </c>
      <c r="J2302" s="3" t="str">
        <f>HYPERLINK("https://www.boe.es/gazeta/dias/1819/09/17/pdfs/GMD-1819-114E.pdf#page=1","Abrir facsímil")</f>
        <v>Abrir facsímil</v>
      </c>
      <c r="K2302" s="3" t="s">
        <v>67</v>
      </c>
    </row>
    <row r="2303" spans="1:11" ht="42" customHeight="1">
      <c r="A2303" s="2" t="s">
        <v>5650</v>
      </c>
      <c r="B2303" s="2" t="s">
        <v>5651</v>
      </c>
      <c r="C2303" s="2" t="s">
        <v>215</v>
      </c>
      <c r="D2303" s="2" t="s">
        <v>18</v>
      </c>
      <c r="E2303" s="5">
        <v>-29456</v>
      </c>
      <c r="F2303" s="3" t="s">
        <v>468</v>
      </c>
      <c r="G2303" s="3" t="s">
        <v>28</v>
      </c>
      <c r="H2303" s="2" t="s">
        <v>65</v>
      </c>
      <c r="I2303" s="2" t="s">
        <v>5652</v>
      </c>
      <c r="J2303" s="3" t="str">
        <f>HYPERLINK("https://www.boe.es/gazeta/dias/1819/05/08/pdfs/GMD-1819-55.pdf#page=8","Abrir facsímil")</f>
        <v>Abrir facsímil</v>
      </c>
      <c r="K2303" s="3" t="s">
        <v>67</v>
      </c>
    </row>
    <row r="2304" spans="1:11" ht="42" customHeight="1">
      <c r="A2304" s="2" t="s">
        <v>5653</v>
      </c>
      <c r="B2304" s="2" t="s">
        <v>5654</v>
      </c>
      <c r="C2304" s="2" t="s">
        <v>215</v>
      </c>
      <c r="D2304" s="2" t="s">
        <v>18</v>
      </c>
      <c r="E2304" s="5">
        <v>-29269</v>
      </c>
      <c r="F2304" s="3" t="s">
        <v>565</v>
      </c>
      <c r="G2304" s="3" t="s">
        <v>28</v>
      </c>
      <c r="H2304" s="2" t="s">
        <v>65</v>
      </c>
      <c r="I2304" s="2" t="s">
        <v>5655</v>
      </c>
      <c r="J2304" s="3" t="str">
        <f>HYPERLINK("https://www.boe.es/gazeta/dias/1819/11/11/pdfs/GMD-1819-139.pdf#page=8","Abrir facsímil")</f>
        <v>Abrir facsímil</v>
      </c>
      <c r="K2304" s="3" t="s">
        <v>67</v>
      </c>
    </row>
    <row r="2305" spans="1:11" ht="42" customHeight="1">
      <c r="A2305" s="2" t="s">
        <v>5656</v>
      </c>
      <c r="B2305" s="2" t="s">
        <v>5657</v>
      </c>
      <c r="C2305" s="2" t="s">
        <v>59</v>
      </c>
      <c r="D2305" s="2" t="s">
        <v>18</v>
      </c>
      <c r="E2305" s="5">
        <v>-29400</v>
      </c>
      <c r="F2305" s="3" t="s">
        <v>2181</v>
      </c>
      <c r="G2305" s="3" t="s">
        <v>38</v>
      </c>
      <c r="H2305" s="2" t="s">
        <v>65</v>
      </c>
      <c r="I2305" s="2" t="s">
        <v>5658</v>
      </c>
      <c r="J2305" s="3" t="str">
        <f>HYPERLINK("https://www.boe.es/gazeta/dias/1819/07/03/pdfs/GMD-1819-80.pdf#page=5","Abrir facsímil")</f>
        <v>Abrir facsímil</v>
      </c>
      <c r="K2305" s="3" t="s">
        <v>67</v>
      </c>
    </row>
    <row r="2306" spans="1:11" ht="42" customHeight="1">
      <c r="A2306" s="2" t="s">
        <v>5659</v>
      </c>
      <c r="B2306" s="2" t="s">
        <v>5660</v>
      </c>
      <c r="C2306" s="2" t="s">
        <v>80</v>
      </c>
      <c r="D2306" s="2" t="s">
        <v>81</v>
      </c>
      <c r="E2306" s="5">
        <v>-29582</v>
      </c>
      <c r="F2306" s="3" t="s">
        <v>376</v>
      </c>
      <c r="G2306" s="3" t="s">
        <v>702</v>
      </c>
      <c r="H2306" s="2" t="s">
        <v>65</v>
      </c>
      <c r="I2306" s="2" t="s">
        <v>5661</v>
      </c>
      <c r="J2306" s="3" t="str">
        <f>HYPERLINK("https://www.boe.es/gazeta/dias/1819/01/02/pdfs/GMD-1819-1.pdf#page=7","Abrir facsímil")</f>
        <v>Abrir facsímil</v>
      </c>
      <c r="K2306" s="3" t="s">
        <v>67</v>
      </c>
    </row>
    <row r="2307" spans="1:11" ht="42" customHeight="1">
      <c r="A2307" s="2" t="s">
        <v>5662</v>
      </c>
      <c r="B2307" s="2" t="s">
        <v>5663</v>
      </c>
      <c r="C2307" s="2" t="s">
        <v>80</v>
      </c>
      <c r="D2307" s="2" t="s">
        <v>81</v>
      </c>
      <c r="E2307" s="5">
        <v>-29281</v>
      </c>
      <c r="F2307" s="3" t="s">
        <v>19</v>
      </c>
      <c r="G2307" s="3" t="s">
        <v>456</v>
      </c>
      <c r="H2307" s="2" t="s">
        <v>65</v>
      </c>
      <c r="I2307" s="2" t="s">
        <v>5664</v>
      </c>
      <c r="J2307" s="3" t="str">
        <f>HYPERLINK("https://www.boe.es/gazeta/dias/1819/10/30/pdfs/GMD-1819-134.pdf#page=9","Abrir facsímil")</f>
        <v>Abrir facsímil</v>
      </c>
      <c r="K2307" s="3" t="s">
        <v>67</v>
      </c>
    </row>
    <row r="2308" spans="1:11" ht="42" customHeight="1">
      <c r="A2308" s="2" t="s">
        <v>5665</v>
      </c>
      <c r="B2308" s="2" t="s">
        <v>5666</v>
      </c>
      <c r="C2308" s="2" t="s">
        <v>63</v>
      </c>
      <c r="D2308" s="2" t="s">
        <v>43</v>
      </c>
      <c r="E2308" s="5">
        <v>-29547</v>
      </c>
      <c r="F2308" s="3" t="s">
        <v>238</v>
      </c>
      <c r="G2308" s="3" t="s">
        <v>239</v>
      </c>
      <c r="H2308" s="2" t="s">
        <v>65</v>
      </c>
      <c r="I2308" s="2" t="s">
        <v>5667</v>
      </c>
      <c r="J2308" s="3" t="str">
        <f>HYPERLINK("https://www.boe.es/gazeta/dias/1819/02/06/pdfs/GMD-1819-16.pdf#page=1","Abrir facsímil")</f>
        <v>Abrir facsímil</v>
      </c>
      <c r="K2308" s="3" t="s">
        <v>67</v>
      </c>
    </row>
    <row r="2309" spans="1:11" ht="42" customHeight="1">
      <c r="A2309" s="2" t="s">
        <v>5668</v>
      </c>
      <c r="B2309" s="2" t="s">
        <v>5668</v>
      </c>
      <c r="C2309" s="2" t="s">
        <v>80</v>
      </c>
      <c r="D2309" s="2" t="s">
        <v>81</v>
      </c>
      <c r="E2309" s="5">
        <v>-29267</v>
      </c>
      <c r="F2309" s="3" t="s">
        <v>370</v>
      </c>
      <c r="G2309" s="3" t="s">
        <v>456</v>
      </c>
      <c r="H2309" s="2" t="s">
        <v>65</v>
      </c>
      <c r="I2309" s="2" t="s">
        <v>5669</v>
      </c>
      <c r="J2309" s="3" t="str">
        <f>HYPERLINK("https://www.boe.es/gazeta/dias/1819/11/13/pdfs/GMD-1819-140.pdf#page=9","Abrir facsímil")</f>
        <v>Abrir facsímil</v>
      </c>
      <c r="K2309" s="3" t="s">
        <v>67</v>
      </c>
    </row>
    <row r="2310" spans="1:11" ht="42" customHeight="1">
      <c r="A2310" s="2" t="s">
        <v>5670</v>
      </c>
      <c r="B2310" s="2" t="s">
        <v>5671</v>
      </c>
      <c r="C2310" s="2" t="s">
        <v>59</v>
      </c>
      <c r="D2310" s="2" t="s">
        <v>18</v>
      </c>
      <c r="E2310" s="5">
        <v>-29537</v>
      </c>
      <c r="F2310" s="3" t="s">
        <v>593</v>
      </c>
      <c r="G2310" s="3" t="s">
        <v>456</v>
      </c>
      <c r="H2310" s="2" t="s">
        <v>21</v>
      </c>
      <c r="I2310" s="2" t="s">
        <v>5672</v>
      </c>
      <c r="J2310" s="3" t="str">
        <f>HYPERLINK("https://www.boe.es/gazeta/dias/1819/02/16/pdfs/GMD-1819-20.pdf#page=9","Abrir facsímil")</f>
        <v>Abrir facsímil</v>
      </c>
      <c r="K2310" s="3" t="s">
        <v>23</v>
      </c>
    </row>
    <row r="2311" spans="1:11" ht="42" customHeight="1">
      <c r="A2311" s="2" t="s">
        <v>5673</v>
      </c>
      <c r="B2311" s="2" t="s">
        <v>5674</v>
      </c>
      <c r="C2311" s="2" t="s">
        <v>59</v>
      </c>
      <c r="D2311" s="2" t="s">
        <v>18</v>
      </c>
      <c r="E2311" s="5">
        <v>-29493</v>
      </c>
      <c r="F2311" s="3" t="s">
        <v>404</v>
      </c>
      <c r="G2311" s="3" t="s">
        <v>55</v>
      </c>
      <c r="H2311" s="2" t="s">
        <v>65</v>
      </c>
      <c r="I2311" s="2" t="s">
        <v>5675</v>
      </c>
      <c r="J2311" s="3" t="str">
        <f>HYPERLINK("https://www.boe.es/gazeta/dias/1819/04/01/pdfs/GMD-1819-39.pdf#page=7","Abrir facsímil")</f>
        <v>Abrir facsímil</v>
      </c>
      <c r="K2311" s="3" t="s">
        <v>67</v>
      </c>
    </row>
    <row r="2312" spans="1:11" ht="42" customHeight="1">
      <c r="A2312" s="2" t="s">
        <v>5676</v>
      </c>
      <c r="B2312" s="2" t="s">
        <v>5677</v>
      </c>
      <c r="C2312" s="2" t="s">
        <v>215</v>
      </c>
      <c r="D2312" s="2" t="s">
        <v>18</v>
      </c>
      <c r="E2312" s="5">
        <v>-29281</v>
      </c>
      <c r="F2312" s="3" t="s">
        <v>19</v>
      </c>
      <c r="G2312" s="3" t="s">
        <v>138</v>
      </c>
      <c r="H2312" s="2" t="s">
        <v>65</v>
      </c>
      <c r="I2312" s="2" t="s">
        <v>5678</v>
      </c>
      <c r="J2312" s="3" t="str">
        <f>HYPERLINK("https://www.boe.es/gazeta/dias/1819/10/30/pdfs/GMD-1819-134.pdf#page=12","Abrir facsímil")</f>
        <v>Abrir facsímil</v>
      </c>
      <c r="K2312" s="3" t="s">
        <v>67</v>
      </c>
    </row>
    <row r="2313" spans="1:11" ht="42" customHeight="1">
      <c r="A2313" s="2" t="s">
        <v>5679</v>
      </c>
      <c r="B2313" s="2" t="s">
        <v>5679</v>
      </c>
      <c r="C2313" s="2" t="s">
        <v>80</v>
      </c>
      <c r="D2313" s="2" t="s">
        <v>81</v>
      </c>
      <c r="E2313" s="5">
        <v>-29428</v>
      </c>
      <c r="F2313" s="3" t="s">
        <v>730</v>
      </c>
      <c r="G2313" s="3" t="s">
        <v>259</v>
      </c>
      <c r="H2313" s="2" t="s">
        <v>65</v>
      </c>
      <c r="I2313" s="2" t="s">
        <v>5680</v>
      </c>
      <c r="J2313" s="3" t="str">
        <f>HYPERLINK("https://www.boe.es/gazeta/dias/1819/06/05/pdfs/GMD-1819-67.pdf#page=2","Abrir facsímil")</f>
        <v>Abrir facsímil</v>
      </c>
      <c r="K2313" s="3" t="s">
        <v>67</v>
      </c>
    </row>
    <row r="2314" spans="1:11" ht="42" customHeight="1">
      <c r="A2314" s="2" t="s">
        <v>5681</v>
      </c>
      <c r="B2314" s="2" t="s">
        <v>5682</v>
      </c>
      <c r="C2314" s="2" t="s">
        <v>63</v>
      </c>
      <c r="D2314" s="2" t="s">
        <v>43</v>
      </c>
      <c r="E2314" s="5">
        <v>-29477</v>
      </c>
      <c r="F2314" s="3" t="s">
        <v>789</v>
      </c>
      <c r="G2314" s="3" t="s">
        <v>55</v>
      </c>
      <c r="H2314" s="2" t="s">
        <v>65</v>
      </c>
      <c r="I2314" s="2" t="s">
        <v>5683</v>
      </c>
      <c r="J2314" s="3" t="str">
        <f>HYPERLINK("https://www.boe.es/gazeta/dias/1819/04/17/pdfs/GMD-1819-46.pdf#page=7","Abrir facsímil")</f>
        <v>Abrir facsímil</v>
      </c>
      <c r="K2314" s="3" t="s">
        <v>67</v>
      </c>
    </row>
    <row r="2315" spans="1:11" ht="42" customHeight="1">
      <c r="A2315" s="2" t="s">
        <v>5684</v>
      </c>
      <c r="B2315" s="2" t="s">
        <v>5685</v>
      </c>
      <c r="C2315" s="2" t="s">
        <v>59</v>
      </c>
      <c r="D2315" s="2" t="s">
        <v>18</v>
      </c>
      <c r="E2315" s="5">
        <v>-29276</v>
      </c>
      <c r="F2315" s="3" t="s">
        <v>54</v>
      </c>
      <c r="G2315" s="3" t="s">
        <v>55</v>
      </c>
      <c r="H2315" s="2" t="s">
        <v>65</v>
      </c>
      <c r="I2315" s="2" t="s">
        <v>5686</v>
      </c>
      <c r="J2315" s="3" t="str">
        <f>HYPERLINK("https://www.boe.es/gazeta/dias/1819/11/04/pdfs/GMD-1819-136.pdf#page=7","Abrir facsímil")</f>
        <v>Abrir facsímil</v>
      </c>
      <c r="K2315" s="3" t="s">
        <v>67</v>
      </c>
    </row>
    <row r="2316" spans="1:11" ht="42" customHeight="1">
      <c r="A2316" s="2" t="s">
        <v>5687</v>
      </c>
      <c r="B2316" s="2" t="s">
        <v>5688</v>
      </c>
      <c r="C2316" s="2" t="s">
        <v>63</v>
      </c>
      <c r="D2316" s="2" t="s">
        <v>43</v>
      </c>
      <c r="E2316" s="5">
        <v>-29281</v>
      </c>
      <c r="F2316" s="3" t="s">
        <v>19</v>
      </c>
      <c r="G2316" s="3" t="s">
        <v>28</v>
      </c>
      <c r="H2316" s="2" t="s">
        <v>65</v>
      </c>
      <c r="I2316" s="2" t="s">
        <v>5689</v>
      </c>
      <c r="J2316" s="3" t="str">
        <f>HYPERLINK("https://www.boe.es/gazeta/dias/1819/10/30/pdfs/GMD-1819-134.pdf#page=8","Abrir facsímil")</f>
        <v>Abrir facsímil</v>
      </c>
      <c r="K2316" s="3" t="s">
        <v>67</v>
      </c>
    </row>
    <row r="2317" spans="1:11" ht="42" customHeight="1">
      <c r="A2317" s="2" t="s">
        <v>5690</v>
      </c>
      <c r="B2317" s="2" t="s">
        <v>5691</v>
      </c>
      <c r="C2317" s="2" t="s">
        <v>80</v>
      </c>
      <c r="D2317" s="2" t="s">
        <v>81</v>
      </c>
      <c r="E2317" s="5">
        <v>-29281</v>
      </c>
      <c r="F2317" s="3" t="s">
        <v>19</v>
      </c>
      <c r="G2317" s="3" t="s">
        <v>28</v>
      </c>
      <c r="H2317" s="2" t="s">
        <v>65</v>
      </c>
      <c r="I2317" s="2" t="s">
        <v>5692</v>
      </c>
      <c r="J2317" s="3" t="str">
        <f>HYPERLINK("https://www.boe.es/gazeta/dias/1819/10/30/pdfs/GMD-1819-134.pdf#page=8","Abrir facsímil")</f>
        <v>Abrir facsímil</v>
      </c>
      <c r="K2317" s="3" t="s">
        <v>67</v>
      </c>
    </row>
    <row r="2318" spans="1:11" ht="42" customHeight="1">
      <c r="A2318" s="2" t="s">
        <v>5693</v>
      </c>
      <c r="B2318" s="2" t="s">
        <v>5694</v>
      </c>
      <c r="C2318" s="2" t="s">
        <v>80</v>
      </c>
      <c r="D2318" s="2" t="s">
        <v>81</v>
      </c>
      <c r="E2318" s="5">
        <v>-29414</v>
      </c>
      <c r="F2318" s="3" t="s">
        <v>732</v>
      </c>
      <c r="G2318" s="3" t="s">
        <v>28</v>
      </c>
      <c r="H2318" s="2" t="s">
        <v>65</v>
      </c>
      <c r="I2318" s="2" t="s">
        <v>5695</v>
      </c>
      <c r="J2318" s="3" t="str">
        <f>HYPERLINK("https://www.boe.es/gazeta/dias/1819/06/19/pdfs/GMD-1819-74.pdf#page=8","Abrir facsímil")</f>
        <v>Abrir facsímil</v>
      </c>
      <c r="K2318" s="3" t="s">
        <v>67</v>
      </c>
    </row>
    <row r="2319" spans="1:11" ht="42" customHeight="1">
      <c r="A2319" s="2" t="s">
        <v>5693</v>
      </c>
      <c r="B2319" s="2" t="s">
        <v>5694</v>
      </c>
      <c r="C2319" s="2" t="s">
        <v>63</v>
      </c>
      <c r="D2319" s="2" t="s">
        <v>43</v>
      </c>
      <c r="E2319" s="5">
        <v>-29372</v>
      </c>
      <c r="F2319" s="3" t="s">
        <v>715</v>
      </c>
      <c r="G2319" s="3" t="s">
        <v>28</v>
      </c>
      <c r="H2319" s="2" t="s">
        <v>65</v>
      </c>
      <c r="I2319" s="2" t="s">
        <v>5696</v>
      </c>
      <c r="J2319" s="3" t="str">
        <f>HYPERLINK("https://www.boe.es/gazeta/dias/1819/07/31/pdfs/GMD-1819-92.pdf#page=8","Abrir facsímil")</f>
        <v>Abrir facsímil</v>
      </c>
      <c r="K2319" s="3" t="s">
        <v>67</v>
      </c>
    </row>
    <row r="2320" spans="1:11" ht="42" customHeight="1">
      <c r="A2320" s="2" t="s">
        <v>5693</v>
      </c>
      <c r="B2320" s="2" t="s">
        <v>5694</v>
      </c>
      <c r="C2320" s="2" t="s">
        <v>26</v>
      </c>
      <c r="D2320" s="2" t="s">
        <v>18</v>
      </c>
      <c r="E2320" s="5">
        <v>-29313</v>
      </c>
      <c r="F2320" s="3" t="s">
        <v>129</v>
      </c>
      <c r="G2320" s="3" t="s">
        <v>28</v>
      </c>
      <c r="H2320" s="2" t="s">
        <v>65</v>
      </c>
      <c r="I2320" s="2" t="s">
        <v>5697</v>
      </c>
      <c r="J2320" s="3" t="str">
        <f>HYPERLINK("https://www.boe.es/gazeta/dias/1819/09/28/pdfs/GMD-1819-119.pdf#page=8","Abrir facsímil")</f>
        <v>Abrir facsímil</v>
      </c>
      <c r="K2320" s="3" t="s">
        <v>67</v>
      </c>
    </row>
    <row r="2321" spans="1:11" ht="42" customHeight="1">
      <c r="A2321" s="2" t="s">
        <v>5698</v>
      </c>
      <c r="B2321" s="2" t="s">
        <v>5699</v>
      </c>
      <c r="C2321" s="2" t="s">
        <v>80</v>
      </c>
      <c r="D2321" s="2" t="s">
        <v>81</v>
      </c>
      <c r="E2321" s="5">
        <v>-29411</v>
      </c>
      <c r="F2321" s="3" t="s">
        <v>317</v>
      </c>
      <c r="G2321" s="3" t="s">
        <v>55</v>
      </c>
      <c r="H2321" s="2" t="s">
        <v>65</v>
      </c>
      <c r="I2321" s="2" t="s">
        <v>5700</v>
      </c>
      <c r="J2321" s="3" t="str">
        <f>HYPERLINK("https://www.boe.es/gazeta/dias/1819/06/22/pdfs/GMD-1819-75.pdf#page=7","Abrir facsímil")</f>
        <v>Abrir facsímil</v>
      </c>
      <c r="K2321" s="3" t="s">
        <v>67</v>
      </c>
    </row>
    <row r="2322" spans="1:11" ht="42" customHeight="1">
      <c r="A2322" s="2" t="s">
        <v>5701</v>
      </c>
      <c r="B2322" s="2" t="s">
        <v>5702</v>
      </c>
      <c r="C2322" s="2" t="s">
        <v>215</v>
      </c>
      <c r="D2322" s="2" t="s">
        <v>18</v>
      </c>
      <c r="E2322" s="5">
        <v>-29229</v>
      </c>
      <c r="F2322" s="3" t="s">
        <v>44</v>
      </c>
      <c r="G2322" s="3" t="s">
        <v>28</v>
      </c>
      <c r="H2322" s="2" t="s">
        <v>65</v>
      </c>
      <c r="I2322" s="2" t="s">
        <v>5703</v>
      </c>
      <c r="J2322" s="3" t="str">
        <f>HYPERLINK("https://www.boe.es/gazeta/dias/1819/12/21/pdfs/GMD-1819-156.pdf#page=8","Abrir facsímil")</f>
        <v>Abrir facsímil</v>
      </c>
      <c r="K2322" s="3" t="s">
        <v>67</v>
      </c>
    </row>
    <row r="2323" spans="1:11" ht="42" customHeight="1">
      <c r="A2323" s="2" t="s">
        <v>5704</v>
      </c>
      <c r="B2323" s="2" t="s">
        <v>5704</v>
      </c>
      <c r="C2323" s="2" t="s">
        <v>26</v>
      </c>
      <c r="D2323" s="2" t="s">
        <v>18</v>
      </c>
      <c r="E2323" s="5">
        <v>-29362</v>
      </c>
      <c r="F2323" s="3" t="s">
        <v>803</v>
      </c>
      <c r="G2323" s="3" t="s">
        <v>28</v>
      </c>
      <c r="H2323" s="2" t="s">
        <v>65</v>
      </c>
      <c r="I2323" s="2" t="s">
        <v>5705</v>
      </c>
      <c r="J2323" s="3" t="str">
        <f>HYPERLINK("https://www.boe.es/gazeta/dias/1819/08/10/pdfs/GMD-1819-96.pdf#page=8","Abrir facsímil")</f>
        <v>Abrir facsímil</v>
      </c>
      <c r="K2323" s="3" t="s">
        <v>67</v>
      </c>
    </row>
    <row r="2324" spans="1:11" ht="42" customHeight="1">
      <c r="A2324" s="2" t="s">
        <v>5706</v>
      </c>
      <c r="B2324" s="2" t="s">
        <v>5706</v>
      </c>
      <c r="C2324" s="2" t="s">
        <v>80</v>
      </c>
      <c r="D2324" s="2" t="s">
        <v>81</v>
      </c>
      <c r="E2324" s="5">
        <v>-29549</v>
      </c>
      <c r="F2324" s="3" t="s">
        <v>124</v>
      </c>
      <c r="G2324" s="3" t="s">
        <v>922</v>
      </c>
      <c r="H2324" s="2" t="s">
        <v>65</v>
      </c>
      <c r="I2324" s="2" t="s">
        <v>5707</v>
      </c>
      <c r="J2324" s="3" t="str">
        <f>HYPERLINK("https://www.boe.es/gazeta/dias/1819/02/04/pdfs/GMD-1819-15.pdf#page=6","Abrir facsímil")</f>
        <v>Abrir facsímil</v>
      </c>
      <c r="K2324" s="3" t="s">
        <v>67</v>
      </c>
    </row>
    <row r="2325" spans="1:11" ht="42" customHeight="1">
      <c r="A2325" s="2" t="s">
        <v>5706</v>
      </c>
      <c r="B2325" s="2" t="s">
        <v>5706</v>
      </c>
      <c r="C2325" s="2" t="s">
        <v>80</v>
      </c>
      <c r="D2325" s="2" t="s">
        <v>81</v>
      </c>
      <c r="E2325" s="5">
        <v>-29544</v>
      </c>
      <c r="F2325" s="3" t="s">
        <v>531</v>
      </c>
      <c r="G2325" s="3" t="s">
        <v>296</v>
      </c>
      <c r="H2325" s="2" t="s">
        <v>65</v>
      </c>
      <c r="I2325" s="2" t="s">
        <v>5708</v>
      </c>
      <c r="J2325" s="3" t="str">
        <f>HYPERLINK("https://www.boe.es/gazeta/dias/1819/02/09/pdfs/GMD-1819-17.pdf#page=4","Abrir facsímil")</f>
        <v>Abrir facsímil</v>
      </c>
      <c r="K2325" s="3" t="s">
        <v>67</v>
      </c>
    </row>
    <row r="2326" spans="1:11" ht="42" customHeight="1">
      <c r="A2326" s="2" t="s">
        <v>5706</v>
      </c>
      <c r="B2326" s="2" t="s">
        <v>5706</v>
      </c>
      <c r="C2326" s="2" t="s">
        <v>136</v>
      </c>
      <c r="D2326" s="2" t="s">
        <v>18</v>
      </c>
      <c r="E2326" s="5">
        <v>-29526</v>
      </c>
      <c r="F2326" s="3" t="s">
        <v>307</v>
      </c>
      <c r="G2326" s="3" t="s">
        <v>28</v>
      </c>
      <c r="H2326" s="2" t="s">
        <v>65</v>
      </c>
      <c r="I2326" s="2" t="s">
        <v>5709</v>
      </c>
      <c r="J2326" s="3" t="str">
        <f>HYPERLINK("https://www.boe.es/gazeta/dias/1819/02/27/pdfs/GMD-1819-25.pdf#page=8","Abrir facsímil")</f>
        <v>Abrir facsímil</v>
      </c>
      <c r="K2326" s="3" t="s">
        <v>67</v>
      </c>
    </row>
    <row r="2327" spans="1:11" ht="42" customHeight="1">
      <c r="A2327" s="2" t="s">
        <v>5706</v>
      </c>
      <c r="B2327" s="2" t="s">
        <v>5706</v>
      </c>
      <c r="C2327" s="2" t="s">
        <v>80</v>
      </c>
      <c r="D2327" s="2" t="s">
        <v>81</v>
      </c>
      <c r="E2327" s="5">
        <v>-29495</v>
      </c>
      <c r="F2327" s="3" t="s">
        <v>992</v>
      </c>
      <c r="G2327" s="3" t="s">
        <v>33</v>
      </c>
      <c r="H2327" s="2" t="s">
        <v>65</v>
      </c>
      <c r="I2327" s="2" t="s">
        <v>5710</v>
      </c>
      <c r="J2327" s="3" t="str">
        <f>HYPERLINK("https://www.boe.es/gazeta/dias/1819/03/30/pdfs/GMD-1819-38.pdf#page=6","Abrir facsímil")</f>
        <v>Abrir facsímil</v>
      </c>
      <c r="K2327" s="3" t="s">
        <v>67</v>
      </c>
    </row>
    <row r="2328" spans="1:11" ht="42" customHeight="1">
      <c r="A2328" s="2" t="s">
        <v>5706</v>
      </c>
      <c r="B2328" s="2" t="s">
        <v>5706</v>
      </c>
      <c r="C2328" s="2" t="s">
        <v>80</v>
      </c>
      <c r="D2328" s="2" t="s">
        <v>81</v>
      </c>
      <c r="E2328" s="5">
        <v>-29495</v>
      </c>
      <c r="F2328" s="3" t="s">
        <v>992</v>
      </c>
      <c r="G2328" s="3" t="s">
        <v>28</v>
      </c>
      <c r="H2328" s="2" t="s">
        <v>65</v>
      </c>
      <c r="I2328" s="2" t="s">
        <v>5711</v>
      </c>
      <c r="J2328" s="3" t="str">
        <f>HYPERLINK("https://www.boe.es/gazeta/dias/1819/03/30/pdfs/GMD-1819-38.pdf#page=8","Abrir facsímil")</f>
        <v>Abrir facsímil</v>
      </c>
      <c r="K2328" s="3" t="s">
        <v>67</v>
      </c>
    </row>
    <row r="2329" spans="1:11" ht="42" customHeight="1">
      <c r="A2329" s="2" t="s">
        <v>5706</v>
      </c>
      <c r="B2329" s="2" t="s">
        <v>5706</v>
      </c>
      <c r="C2329" s="2" t="s">
        <v>215</v>
      </c>
      <c r="D2329" s="2" t="s">
        <v>18</v>
      </c>
      <c r="E2329" s="5">
        <v>-29425</v>
      </c>
      <c r="F2329" s="3" t="s">
        <v>110</v>
      </c>
      <c r="G2329" s="3" t="s">
        <v>28</v>
      </c>
      <c r="H2329" s="2" t="s">
        <v>65</v>
      </c>
      <c r="I2329" s="2" t="s">
        <v>5712</v>
      </c>
      <c r="J2329" s="3" t="str">
        <f>HYPERLINK("https://www.boe.es/gazeta/dias/1819/06/08/pdfs/GMD-1819-68.pdf#page=8","Abrir facsímil")</f>
        <v>Abrir facsímil</v>
      </c>
      <c r="K2329" s="3" t="s">
        <v>67</v>
      </c>
    </row>
    <row r="2330" spans="1:11" ht="42" customHeight="1">
      <c r="A2330" s="2" t="s">
        <v>5706</v>
      </c>
      <c r="B2330" s="2" t="s">
        <v>5706</v>
      </c>
      <c r="C2330" s="2" t="s">
        <v>80</v>
      </c>
      <c r="D2330" s="2" t="s">
        <v>81</v>
      </c>
      <c r="E2330" s="5">
        <v>-29407</v>
      </c>
      <c r="F2330" s="3" t="s">
        <v>64</v>
      </c>
      <c r="G2330" s="3" t="s">
        <v>33</v>
      </c>
      <c r="H2330" s="2" t="s">
        <v>65</v>
      </c>
      <c r="I2330" s="2" t="s">
        <v>5713</v>
      </c>
      <c r="J2330" s="3" t="str">
        <f>HYPERLINK("https://www.boe.es/gazeta/dias/1819/06/26/pdfs/GMD-1819-77.pdf#page=6","Abrir facsímil")</f>
        <v>Abrir facsímil</v>
      </c>
      <c r="K2330" s="3" t="s">
        <v>67</v>
      </c>
    </row>
    <row r="2331" spans="1:11" ht="42" customHeight="1">
      <c r="A2331" s="2" t="s">
        <v>5706</v>
      </c>
      <c r="B2331" s="2" t="s">
        <v>5706</v>
      </c>
      <c r="C2331" s="2" t="s">
        <v>26</v>
      </c>
      <c r="D2331" s="2" t="s">
        <v>18</v>
      </c>
      <c r="E2331" s="5">
        <v>-29355</v>
      </c>
      <c r="F2331" s="3" t="s">
        <v>347</v>
      </c>
      <c r="G2331" s="3" t="s">
        <v>348</v>
      </c>
      <c r="H2331" s="2" t="s">
        <v>65</v>
      </c>
      <c r="I2331" s="2" t="s">
        <v>5714</v>
      </c>
      <c r="J2331" s="3" t="str">
        <f>HYPERLINK("https://www.boe.es/gazeta/dias/1819/08/17/pdfs/GMD-1819-99.pdf#page=6","Abrir facsímil")</f>
        <v>Abrir facsímil</v>
      </c>
      <c r="K2331" s="3" t="s">
        <v>67</v>
      </c>
    </row>
    <row r="2332" spans="1:11" ht="42" customHeight="1">
      <c r="A2332" s="2" t="s">
        <v>5706</v>
      </c>
      <c r="B2332" s="2" t="s">
        <v>5706</v>
      </c>
      <c r="C2332" s="2" t="s">
        <v>80</v>
      </c>
      <c r="D2332" s="2" t="s">
        <v>81</v>
      </c>
      <c r="E2332" s="5">
        <v>-29348</v>
      </c>
      <c r="F2332" s="3" t="s">
        <v>227</v>
      </c>
      <c r="G2332" s="3" t="s">
        <v>5715</v>
      </c>
      <c r="H2332" s="2" t="s">
        <v>65</v>
      </c>
      <c r="I2332" s="2" t="s">
        <v>5716</v>
      </c>
      <c r="J2332" s="3" t="str">
        <f>HYPERLINK("https://www.boe.es/gazeta/dias/1819/08/24/pdfs/GMD-1819-102.pdf#page=6","Abrir facsímil")</f>
        <v>Abrir facsímil</v>
      </c>
      <c r="K2332" s="3" t="s">
        <v>67</v>
      </c>
    </row>
    <row r="2333" spans="1:11" ht="42" customHeight="1">
      <c r="A2333" s="2" t="s">
        <v>5706</v>
      </c>
      <c r="B2333" s="2" t="s">
        <v>5706</v>
      </c>
      <c r="C2333" s="2" t="s">
        <v>80</v>
      </c>
      <c r="D2333" s="2" t="s">
        <v>81</v>
      </c>
      <c r="E2333" s="5">
        <v>-29348</v>
      </c>
      <c r="F2333" s="3" t="s">
        <v>227</v>
      </c>
      <c r="G2333" s="3" t="s">
        <v>38</v>
      </c>
      <c r="H2333" s="2" t="s">
        <v>65</v>
      </c>
      <c r="I2333" s="2" t="s">
        <v>5717</v>
      </c>
      <c r="J2333" s="3" t="str">
        <f>HYPERLINK("https://www.boe.es/gazeta/dias/1819/08/24/pdfs/GMD-1819-102.pdf#page=5","Abrir facsímil")</f>
        <v>Abrir facsímil</v>
      </c>
      <c r="K2333" s="3" t="s">
        <v>67</v>
      </c>
    </row>
    <row r="2334" spans="1:11" ht="42" customHeight="1">
      <c r="A2334" s="2" t="s">
        <v>5706</v>
      </c>
      <c r="B2334" s="2" t="s">
        <v>5706</v>
      </c>
      <c r="C2334" s="2" t="s">
        <v>136</v>
      </c>
      <c r="D2334" s="2" t="s">
        <v>18</v>
      </c>
      <c r="E2334" s="5">
        <v>-29348</v>
      </c>
      <c r="F2334" s="3" t="s">
        <v>227</v>
      </c>
      <c r="G2334" s="3" t="s">
        <v>55</v>
      </c>
      <c r="H2334" s="2" t="s">
        <v>65</v>
      </c>
      <c r="I2334" s="2" t="s">
        <v>5718</v>
      </c>
      <c r="J2334" s="3" t="str">
        <f>HYPERLINK("https://www.boe.es/gazeta/dias/1819/08/24/pdfs/GMD-1819-102.pdf#page=7","Abrir facsímil")</f>
        <v>Abrir facsímil</v>
      </c>
      <c r="K2334" s="3" t="s">
        <v>67</v>
      </c>
    </row>
    <row r="2335" spans="1:11" ht="42" customHeight="1">
      <c r="A2335" s="2" t="s">
        <v>5706</v>
      </c>
      <c r="B2335" s="2" t="s">
        <v>5706</v>
      </c>
      <c r="C2335" s="2" t="s">
        <v>63</v>
      </c>
      <c r="D2335" s="2" t="s">
        <v>43</v>
      </c>
      <c r="E2335" s="5">
        <v>-29346</v>
      </c>
      <c r="F2335" s="3" t="s">
        <v>718</v>
      </c>
      <c r="G2335" s="3" t="s">
        <v>28</v>
      </c>
      <c r="H2335" s="2" t="s">
        <v>65</v>
      </c>
      <c r="I2335" s="2" t="s">
        <v>5719</v>
      </c>
      <c r="J2335" s="3" t="str">
        <f>HYPERLINK("https://www.boe.es/gazeta/dias/1819/08/26/pdfs/GMD-1819-103.pdf#page=8","Abrir facsímil")</f>
        <v>Abrir facsímil</v>
      </c>
      <c r="K2335" s="3" t="s">
        <v>67</v>
      </c>
    </row>
    <row r="2336" spans="1:11" ht="42" customHeight="1">
      <c r="A2336" s="2" t="s">
        <v>5706</v>
      </c>
      <c r="B2336" s="2" t="s">
        <v>5706</v>
      </c>
      <c r="C2336" s="2" t="s">
        <v>80</v>
      </c>
      <c r="D2336" s="2" t="s">
        <v>81</v>
      </c>
      <c r="E2336" s="5">
        <v>-29341</v>
      </c>
      <c r="F2336" s="3" t="s">
        <v>806</v>
      </c>
      <c r="G2336" s="3" t="s">
        <v>3754</v>
      </c>
      <c r="H2336" s="2" t="s">
        <v>65</v>
      </c>
      <c r="I2336" s="2" t="s">
        <v>5720</v>
      </c>
      <c r="J2336" s="3" t="str">
        <f>HYPERLINK("https://www.boe.es/gazeta/dias/1819/08/31/pdfs/GMD-1819-105.pdf#page=7","Abrir facsímil")</f>
        <v>Abrir facsímil</v>
      </c>
      <c r="K2336" s="3" t="s">
        <v>67</v>
      </c>
    </row>
    <row r="2337" spans="1:11" ht="42" customHeight="1">
      <c r="A2337" s="2" t="s">
        <v>5706</v>
      </c>
      <c r="B2337" s="2" t="s">
        <v>5706</v>
      </c>
      <c r="C2337" s="2" t="s">
        <v>63</v>
      </c>
      <c r="D2337" s="2" t="s">
        <v>43</v>
      </c>
      <c r="E2337" s="5">
        <v>-29236</v>
      </c>
      <c r="F2337" s="3" t="s">
        <v>379</v>
      </c>
      <c r="G2337" s="3" t="s">
        <v>5721</v>
      </c>
      <c r="H2337" s="2" t="s">
        <v>65</v>
      </c>
      <c r="I2337" s="2" t="s">
        <v>5722</v>
      </c>
      <c r="J2337" s="3" t="str">
        <f>HYPERLINK("https://www.boe.es/gazeta/dias/1819/12/14/pdfs/GMD-1819-153.pdf#page=6","Abrir facsímil")</f>
        <v>Abrir facsímil</v>
      </c>
      <c r="K2337" s="3" t="s">
        <v>67</v>
      </c>
    </row>
    <row r="2338" spans="1:11" ht="42" customHeight="1">
      <c r="A2338" s="2" t="s">
        <v>5723</v>
      </c>
      <c r="B2338" s="2" t="s">
        <v>5724</v>
      </c>
      <c r="C2338" s="2" t="s">
        <v>63</v>
      </c>
      <c r="D2338" s="2" t="s">
        <v>43</v>
      </c>
      <c r="E2338" s="5">
        <v>-29409</v>
      </c>
      <c r="F2338" s="3" t="s">
        <v>106</v>
      </c>
      <c r="G2338" s="3" t="s">
        <v>55</v>
      </c>
      <c r="H2338" s="2" t="s">
        <v>65</v>
      </c>
      <c r="I2338" s="2" t="s">
        <v>5725</v>
      </c>
      <c r="J2338" s="3" t="str">
        <f>HYPERLINK("https://www.boe.es/gazeta/dias/1819/06/24/pdfs/GMD-1819-76.pdf#page=7","Abrir facsímil")</f>
        <v>Abrir facsímil</v>
      </c>
      <c r="K2338" s="3" t="s">
        <v>67</v>
      </c>
    </row>
    <row r="2339" spans="1:11" ht="42" customHeight="1">
      <c r="A2339" s="2" t="s">
        <v>5726</v>
      </c>
      <c r="B2339" s="2" t="s">
        <v>5727</v>
      </c>
      <c r="C2339" s="2" t="s">
        <v>59</v>
      </c>
      <c r="D2339" s="2" t="s">
        <v>18</v>
      </c>
      <c r="E2339" s="5">
        <v>-29575</v>
      </c>
      <c r="F2339" s="3" t="s">
        <v>77</v>
      </c>
      <c r="G2339" s="3" t="s">
        <v>55</v>
      </c>
      <c r="H2339" s="2" t="s">
        <v>65</v>
      </c>
      <c r="I2339" s="2" t="s">
        <v>5728</v>
      </c>
      <c r="J2339" s="3" t="str">
        <f>HYPERLINK("https://www.boe.es/gazeta/dias/1819/01/09/pdfs/GMD-1819-4.pdf#page=7","Abrir facsímil")</f>
        <v>Abrir facsímil</v>
      </c>
      <c r="K2339" s="3" t="s">
        <v>67</v>
      </c>
    </row>
    <row r="2340" spans="1:11" ht="42" customHeight="1">
      <c r="A2340" s="2" t="s">
        <v>5729</v>
      </c>
      <c r="B2340" s="2" t="s">
        <v>5729</v>
      </c>
      <c r="C2340" s="2" t="s">
        <v>59</v>
      </c>
      <c r="D2340" s="2" t="s">
        <v>18</v>
      </c>
      <c r="E2340" s="5">
        <v>-29316</v>
      </c>
      <c r="F2340" s="3" t="s">
        <v>166</v>
      </c>
      <c r="G2340" s="3" t="s">
        <v>38</v>
      </c>
      <c r="H2340" s="2" t="s">
        <v>65</v>
      </c>
      <c r="I2340" s="2" t="s">
        <v>5730</v>
      </c>
      <c r="J2340" s="3" t="str">
        <f>HYPERLINK("https://www.boe.es/gazeta/dias/1819/09/25/pdfs/GMD-1819-118.pdf#page=5","Abrir facsímil")</f>
        <v>Abrir facsímil</v>
      </c>
      <c r="K2340" s="3" t="s">
        <v>67</v>
      </c>
    </row>
    <row r="2341" spans="1:11" ht="42" customHeight="1">
      <c r="A2341" s="2" t="s">
        <v>5731</v>
      </c>
      <c r="B2341" s="2" t="s">
        <v>5732</v>
      </c>
      <c r="C2341" s="2" t="s">
        <v>63</v>
      </c>
      <c r="D2341" s="2" t="s">
        <v>43</v>
      </c>
      <c r="E2341" s="5">
        <v>-29281</v>
      </c>
      <c r="F2341" s="3" t="s">
        <v>19</v>
      </c>
      <c r="G2341" s="3" t="s">
        <v>456</v>
      </c>
      <c r="H2341" s="2" t="s">
        <v>65</v>
      </c>
      <c r="I2341" s="2" t="s">
        <v>5733</v>
      </c>
      <c r="J2341" s="3" t="str">
        <f>HYPERLINK("https://www.boe.es/gazeta/dias/1819/10/30/pdfs/GMD-1819-134.pdf#page=9","Abrir facsímil")</f>
        <v>Abrir facsímil</v>
      </c>
      <c r="K2341" s="3" t="s">
        <v>67</v>
      </c>
    </row>
    <row r="2342" spans="1:11" ht="42" customHeight="1">
      <c r="A2342" s="2" t="s">
        <v>5734</v>
      </c>
      <c r="B2342" s="2" t="s">
        <v>5734</v>
      </c>
      <c r="C2342" s="2" t="s">
        <v>59</v>
      </c>
      <c r="D2342" s="2" t="s">
        <v>18</v>
      </c>
      <c r="E2342" s="5">
        <v>-29257</v>
      </c>
      <c r="F2342" s="3" t="s">
        <v>73</v>
      </c>
      <c r="G2342" s="3" t="s">
        <v>3029</v>
      </c>
      <c r="H2342" s="2" t="s">
        <v>65</v>
      </c>
      <c r="I2342" s="2" t="s">
        <v>5735</v>
      </c>
      <c r="J2342" s="3" t="str">
        <f>HYPERLINK("https://www.boe.es/gazeta/dias/1819/11/23/pdfs/GMD-1819-144.pdf#page=7","Abrir facsímil")</f>
        <v>Abrir facsímil</v>
      </c>
      <c r="K2342" s="3" t="s">
        <v>67</v>
      </c>
    </row>
    <row r="2343" spans="1:11" ht="42" customHeight="1">
      <c r="A2343" s="2" t="s">
        <v>5736</v>
      </c>
      <c r="B2343" s="2" t="s">
        <v>5737</v>
      </c>
      <c r="C2343" s="2" t="s">
        <v>80</v>
      </c>
      <c r="D2343" s="2" t="s">
        <v>454</v>
      </c>
      <c r="E2343" s="5">
        <v>-29419</v>
      </c>
      <c r="F2343" s="3" t="s">
        <v>1491</v>
      </c>
      <c r="G2343" s="3" t="s">
        <v>102</v>
      </c>
      <c r="H2343" s="2" t="s">
        <v>65</v>
      </c>
      <c r="I2343" s="2" t="s">
        <v>5738</v>
      </c>
      <c r="J2343" s="3" t="str">
        <f>HYPERLINK("https://www.boe.es/gazeta/dias/1819/06/14/pdfs/GMD-1819-71E.pdf#page=3","Abrir facsímil")</f>
        <v>Abrir facsímil</v>
      </c>
      <c r="K2343" s="3" t="s">
        <v>67</v>
      </c>
    </row>
    <row r="2344" spans="1:11" ht="42" customHeight="1">
      <c r="A2344" s="2" t="s">
        <v>5739</v>
      </c>
      <c r="B2344" s="2" t="s">
        <v>5740</v>
      </c>
      <c r="C2344" s="2" t="s">
        <v>80</v>
      </c>
      <c r="D2344" s="2" t="s">
        <v>81</v>
      </c>
      <c r="E2344" s="5">
        <v>-29470</v>
      </c>
      <c r="F2344" s="3" t="s">
        <v>1188</v>
      </c>
      <c r="G2344" s="3" t="s">
        <v>33</v>
      </c>
      <c r="H2344" s="2" t="s">
        <v>65</v>
      </c>
      <c r="I2344" s="2" t="s">
        <v>5741</v>
      </c>
      <c r="J2344" s="3" t="str">
        <f>HYPERLINK("https://www.boe.es/gazeta/dias/1819/04/24/pdfs/GMD-1819-49.pdf#page=6","Abrir facsímil")</f>
        <v>Abrir facsímil</v>
      </c>
      <c r="K2344" s="3" t="s">
        <v>67</v>
      </c>
    </row>
    <row r="2345" spans="1:11" ht="42" customHeight="1">
      <c r="A2345" s="2" t="s">
        <v>5742</v>
      </c>
      <c r="B2345" s="2" t="s">
        <v>5743</v>
      </c>
      <c r="C2345" s="2" t="s">
        <v>63</v>
      </c>
      <c r="D2345" s="2" t="s">
        <v>43</v>
      </c>
      <c r="E2345" s="5">
        <v>-29449</v>
      </c>
      <c r="F2345" s="3" t="s">
        <v>771</v>
      </c>
      <c r="G2345" s="3" t="s">
        <v>55</v>
      </c>
      <c r="H2345" s="2" t="s">
        <v>65</v>
      </c>
      <c r="I2345" s="2" t="s">
        <v>5744</v>
      </c>
      <c r="J2345" s="3" t="str">
        <f>HYPERLINK("https://www.boe.es/gazeta/dias/1819/05/15/pdfs/GMD-1819-58.pdf#page=7","Abrir facsímil")</f>
        <v>Abrir facsímil</v>
      </c>
      <c r="K2345" s="3" t="s">
        <v>67</v>
      </c>
    </row>
    <row r="2346" spans="1:11" ht="42" customHeight="1">
      <c r="A2346" s="2" t="s">
        <v>5745</v>
      </c>
      <c r="B2346" s="2" t="s">
        <v>5746</v>
      </c>
      <c r="C2346" s="2" t="s">
        <v>59</v>
      </c>
      <c r="D2346" s="2" t="s">
        <v>18</v>
      </c>
      <c r="E2346" s="5">
        <v>-29337</v>
      </c>
      <c r="F2346" s="3" t="s">
        <v>1098</v>
      </c>
      <c r="G2346" s="3" t="s">
        <v>28</v>
      </c>
      <c r="H2346" s="2" t="s">
        <v>65</v>
      </c>
      <c r="I2346" s="2" t="s">
        <v>5747</v>
      </c>
      <c r="J2346" s="3" t="str">
        <f>HYPERLINK("https://www.boe.es/gazeta/dias/1819/09/04/pdfs/GMD-1819-108.pdf#page=8","Abrir facsímil")</f>
        <v>Abrir facsímil</v>
      </c>
      <c r="K2346" s="3" t="s">
        <v>67</v>
      </c>
    </row>
    <row r="2347" spans="1:11" ht="42" customHeight="1">
      <c r="A2347" s="2" t="s">
        <v>5748</v>
      </c>
      <c r="B2347" s="2" t="s">
        <v>5749</v>
      </c>
      <c r="C2347" s="2" t="s">
        <v>59</v>
      </c>
      <c r="D2347" s="2" t="s">
        <v>18</v>
      </c>
      <c r="E2347" s="5">
        <v>-29575</v>
      </c>
      <c r="F2347" s="3" t="s">
        <v>77</v>
      </c>
      <c r="G2347" s="3" t="s">
        <v>55</v>
      </c>
      <c r="H2347" s="2" t="s">
        <v>21</v>
      </c>
      <c r="I2347" s="2" t="s">
        <v>5750</v>
      </c>
      <c r="J2347" s="3" t="str">
        <f>HYPERLINK("https://www.boe.es/gazeta/dias/1819/01/09/pdfs/GMD-1819-4.pdf#page=7","Abrir facsímil")</f>
        <v>Abrir facsímil</v>
      </c>
      <c r="K2347" s="3" t="s">
        <v>23</v>
      </c>
    </row>
    <row r="2348" spans="1:11" ht="42" customHeight="1">
      <c r="A2348" s="2" t="s">
        <v>5751</v>
      </c>
      <c r="B2348" s="2" t="s">
        <v>5751</v>
      </c>
      <c r="C2348" s="2" t="s">
        <v>80</v>
      </c>
      <c r="D2348" s="2" t="s">
        <v>81</v>
      </c>
      <c r="E2348" s="5">
        <v>-29372</v>
      </c>
      <c r="F2348" s="3" t="s">
        <v>715</v>
      </c>
      <c r="G2348" s="3" t="s">
        <v>28</v>
      </c>
      <c r="H2348" s="2" t="s">
        <v>65</v>
      </c>
      <c r="I2348" s="2" t="s">
        <v>5752</v>
      </c>
      <c r="J2348" s="3" t="str">
        <f>HYPERLINK("https://www.boe.es/gazeta/dias/1819/07/31/pdfs/GMD-1819-92.pdf#page=8","Abrir facsímil")</f>
        <v>Abrir facsímil</v>
      </c>
      <c r="K2348" s="3" t="s">
        <v>67</v>
      </c>
    </row>
    <row r="2349" spans="1:11" ht="42" customHeight="1">
      <c r="A2349" s="2" t="s">
        <v>5753</v>
      </c>
      <c r="B2349" s="2" t="s">
        <v>5754</v>
      </c>
      <c r="C2349" s="2" t="s">
        <v>63</v>
      </c>
      <c r="D2349" s="2" t="s">
        <v>43</v>
      </c>
      <c r="E2349" s="5">
        <v>-29540</v>
      </c>
      <c r="F2349" s="3" t="s">
        <v>154</v>
      </c>
      <c r="G2349" s="3" t="s">
        <v>55</v>
      </c>
      <c r="H2349" s="2" t="s">
        <v>21</v>
      </c>
      <c r="I2349" s="2" t="s">
        <v>5755</v>
      </c>
      <c r="J2349" s="3" t="str">
        <f>HYPERLINK("https://www.boe.es/gazeta/dias/1819/02/13/pdfs/GMD-1819-19.pdf#page=7","Abrir facsímil")</f>
        <v>Abrir facsímil</v>
      </c>
      <c r="K2349" s="3" t="s">
        <v>23</v>
      </c>
    </row>
    <row r="2350" spans="1:11" ht="42" customHeight="1">
      <c r="A2350" s="2" t="s">
        <v>5756</v>
      </c>
      <c r="B2350" s="2" t="s">
        <v>5756</v>
      </c>
      <c r="C2350" s="2" t="s">
        <v>80</v>
      </c>
      <c r="D2350" s="2" t="s">
        <v>81</v>
      </c>
      <c r="E2350" s="5">
        <v>-29502</v>
      </c>
      <c r="F2350" s="3" t="s">
        <v>86</v>
      </c>
      <c r="G2350" s="3" t="s">
        <v>2658</v>
      </c>
      <c r="H2350" s="2" t="s">
        <v>65</v>
      </c>
      <c r="I2350" s="2" t="s">
        <v>5757</v>
      </c>
      <c r="J2350" s="3" t="str">
        <f>HYPERLINK("https://www.boe.es/gazeta/dias/1819/03/23/pdfs/GMD-1819-35.pdf#page=4","Abrir facsímil")</f>
        <v>Abrir facsímil</v>
      </c>
      <c r="K2350" s="3" t="s">
        <v>67</v>
      </c>
    </row>
    <row r="2351" spans="1:11" ht="42" customHeight="1">
      <c r="A2351" s="2" t="s">
        <v>5758</v>
      </c>
      <c r="B2351" s="2" t="s">
        <v>5758</v>
      </c>
      <c r="C2351" s="2" t="s">
        <v>215</v>
      </c>
      <c r="D2351" s="2" t="s">
        <v>18</v>
      </c>
      <c r="E2351" s="5">
        <v>-29376</v>
      </c>
      <c r="F2351" s="3" t="s">
        <v>332</v>
      </c>
      <c r="G2351" s="3" t="s">
        <v>28</v>
      </c>
      <c r="H2351" s="2" t="s">
        <v>65</v>
      </c>
      <c r="I2351" s="2" t="s">
        <v>5759</v>
      </c>
      <c r="J2351" s="3" t="str">
        <f>HYPERLINK("https://www.boe.es/gazeta/dias/1819/07/27/pdfs/GMD-1819-90.pdf#page=8","Abrir facsímil")</f>
        <v>Abrir facsímil</v>
      </c>
      <c r="K2351" s="3" t="s">
        <v>67</v>
      </c>
    </row>
    <row r="2352" spans="1:11" ht="42" customHeight="1">
      <c r="A2352" s="2" t="s">
        <v>5760</v>
      </c>
      <c r="B2352" s="2" t="s">
        <v>5760</v>
      </c>
      <c r="C2352" s="2" t="s">
        <v>42</v>
      </c>
      <c r="D2352" s="2" t="s">
        <v>43</v>
      </c>
      <c r="E2352" s="5">
        <v>-29264</v>
      </c>
      <c r="F2352" s="3" t="s">
        <v>37</v>
      </c>
      <c r="G2352" s="3" t="s">
        <v>5761</v>
      </c>
      <c r="H2352" s="2" t="s">
        <v>65</v>
      </c>
      <c r="I2352" s="2" t="s">
        <v>5762</v>
      </c>
      <c r="J2352" s="3" t="str">
        <f>HYPERLINK("https://www.boe.es/gazeta/dias/1819/11/16/pdfs/GMD-1819-141.pdf#page=4","Abrir facsímil")</f>
        <v>Abrir facsímil</v>
      </c>
      <c r="K2352" s="3" t="s">
        <v>67</v>
      </c>
    </row>
    <row r="2353" spans="1:11" ht="42" customHeight="1">
      <c r="A2353" s="2" t="s">
        <v>5763</v>
      </c>
      <c r="B2353" s="2" t="s">
        <v>5764</v>
      </c>
      <c r="C2353" s="2" t="s">
        <v>63</v>
      </c>
      <c r="D2353" s="2" t="s">
        <v>43</v>
      </c>
      <c r="E2353" s="5">
        <v>-29281</v>
      </c>
      <c r="F2353" s="3" t="s">
        <v>19</v>
      </c>
      <c r="G2353" s="3" t="s">
        <v>138</v>
      </c>
      <c r="H2353" s="2" t="s">
        <v>65</v>
      </c>
      <c r="I2353" s="2" t="s">
        <v>5765</v>
      </c>
      <c r="J2353" s="3" t="str">
        <f>HYPERLINK("https://www.boe.es/gazeta/dias/1819/10/30/pdfs/GMD-1819-134.pdf#page=12","Abrir facsímil")</f>
        <v>Abrir facsímil</v>
      </c>
      <c r="K2353" s="3" t="s">
        <v>67</v>
      </c>
    </row>
    <row r="2354" spans="1:11" ht="42" customHeight="1">
      <c r="A2354" s="2" t="s">
        <v>5763</v>
      </c>
      <c r="B2354" s="2" t="s">
        <v>5764</v>
      </c>
      <c r="C2354" s="2" t="s">
        <v>59</v>
      </c>
      <c r="D2354" s="2" t="s">
        <v>18</v>
      </c>
      <c r="E2354" s="5">
        <v>-29243</v>
      </c>
      <c r="F2354" s="3" t="s">
        <v>2099</v>
      </c>
      <c r="G2354" s="3" t="s">
        <v>55</v>
      </c>
      <c r="H2354" s="2" t="s">
        <v>65</v>
      </c>
      <c r="I2354" s="2" t="s">
        <v>5766</v>
      </c>
      <c r="J2354" s="3" t="str">
        <f>HYPERLINK("https://www.boe.es/gazeta/dias/1819/12/07/pdfs/GMD-1819-150.pdf#page=7","Abrir facsímil")</f>
        <v>Abrir facsímil</v>
      </c>
      <c r="K2354" s="3" t="s">
        <v>67</v>
      </c>
    </row>
    <row r="2355" spans="1:11" ht="42" customHeight="1">
      <c r="A2355" s="2" t="s">
        <v>5767</v>
      </c>
      <c r="B2355" s="2" t="s">
        <v>5767</v>
      </c>
      <c r="C2355" s="2" t="s">
        <v>80</v>
      </c>
      <c r="D2355" s="2" t="s">
        <v>81</v>
      </c>
      <c r="E2355" s="5">
        <v>-29561</v>
      </c>
      <c r="F2355" s="3" t="s">
        <v>290</v>
      </c>
      <c r="G2355" s="3" t="s">
        <v>28</v>
      </c>
      <c r="H2355" s="2" t="s">
        <v>65</v>
      </c>
      <c r="I2355" s="2" t="s">
        <v>5768</v>
      </c>
      <c r="J2355" s="3" t="str">
        <f>HYPERLINK("https://www.boe.es/gazeta/dias/1819/01/23/pdfs/GMD-1819-10.pdf#page=8","Abrir facsímil")</f>
        <v>Abrir facsímil</v>
      </c>
      <c r="K2355" s="3" t="s">
        <v>67</v>
      </c>
    </row>
    <row r="2356" spans="1:11" ht="42" customHeight="1">
      <c r="A2356" s="2" t="s">
        <v>5769</v>
      </c>
      <c r="B2356" s="2" t="s">
        <v>5769</v>
      </c>
      <c r="C2356" s="2" t="s">
        <v>215</v>
      </c>
      <c r="D2356" s="2" t="s">
        <v>18</v>
      </c>
      <c r="E2356" s="5">
        <v>-29521</v>
      </c>
      <c r="F2356" s="3" t="s">
        <v>1002</v>
      </c>
      <c r="G2356" s="3" t="s">
        <v>55</v>
      </c>
      <c r="H2356" s="2" t="s">
        <v>65</v>
      </c>
      <c r="I2356" s="2" t="s">
        <v>5770</v>
      </c>
      <c r="J2356" s="3" t="str">
        <f>HYPERLINK("https://www.boe.es/gazeta/dias/1819/03/04/pdfs/GMD-1819-27.pdf#page=7","Abrir facsímil")</f>
        <v>Abrir facsímil</v>
      </c>
      <c r="K2356" s="3" t="s">
        <v>67</v>
      </c>
    </row>
    <row r="2357" spans="1:11" ht="42" customHeight="1">
      <c r="A2357" s="2" t="s">
        <v>5769</v>
      </c>
      <c r="B2357" s="2" t="s">
        <v>5769</v>
      </c>
      <c r="C2357" s="2" t="s">
        <v>215</v>
      </c>
      <c r="D2357" s="2" t="s">
        <v>18</v>
      </c>
      <c r="E2357" s="5">
        <v>-29519</v>
      </c>
      <c r="F2357" s="3" t="s">
        <v>142</v>
      </c>
      <c r="G2357" s="3" t="s">
        <v>38</v>
      </c>
      <c r="H2357" s="2" t="s">
        <v>65</v>
      </c>
      <c r="I2357" s="2" t="s">
        <v>5771</v>
      </c>
      <c r="J2357" s="3" t="str">
        <f>HYPERLINK("https://www.boe.es/gazeta/dias/1819/03/06/pdfs/GMD-1819-28.pdf#page=5","Abrir facsímil")</f>
        <v>Abrir facsímil</v>
      </c>
      <c r="K2357" s="3" t="s">
        <v>67</v>
      </c>
    </row>
    <row r="2358" spans="1:11" ht="42" customHeight="1">
      <c r="A2358" s="2" t="s">
        <v>5769</v>
      </c>
      <c r="B2358" s="2" t="s">
        <v>5769</v>
      </c>
      <c r="C2358" s="2" t="s">
        <v>136</v>
      </c>
      <c r="D2358" s="2" t="s">
        <v>18</v>
      </c>
      <c r="E2358" s="5">
        <v>-29516</v>
      </c>
      <c r="F2358" s="3" t="s">
        <v>137</v>
      </c>
      <c r="G2358" s="3" t="s">
        <v>138</v>
      </c>
      <c r="H2358" s="2" t="s">
        <v>65</v>
      </c>
      <c r="I2358" s="2" t="s">
        <v>5772</v>
      </c>
      <c r="J2358" s="3" t="str">
        <f>HYPERLINK("https://www.boe.es/gazeta/dias/1819/03/09/pdfs/GMD-1819-29.pdf#page=12","Abrir facsímil")</f>
        <v>Abrir facsímil</v>
      </c>
      <c r="K2358" s="3" t="s">
        <v>67</v>
      </c>
    </row>
    <row r="2359" spans="1:11" ht="42" customHeight="1">
      <c r="A2359" s="2" t="s">
        <v>5769</v>
      </c>
      <c r="B2359" s="2" t="s">
        <v>5769</v>
      </c>
      <c r="C2359" s="2" t="s">
        <v>136</v>
      </c>
      <c r="D2359" s="2" t="s">
        <v>18</v>
      </c>
      <c r="E2359" s="5">
        <v>-29449</v>
      </c>
      <c r="F2359" s="3" t="s">
        <v>771</v>
      </c>
      <c r="G2359" s="3" t="s">
        <v>55</v>
      </c>
      <c r="H2359" s="2" t="s">
        <v>65</v>
      </c>
      <c r="I2359" s="2" t="s">
        <v>5773</v>
      </c>
      <c r="J2359" s="3" t="str">
        <f>HYPERLINK("https://www.boe.es/gazeta/dias/1819/05/15/pdfs/GMD-1819-58.pdf#page=7","Abrir facsímil")</f>
        <v>Abrir facsímil</v>
      </c>
      <c r="K2359" s="3" t="s">
        <v>67</v>
      </c>
    </row>
    <row r="2360" spans="1:11" ht="42" customHeight="1">
      <c r="A2360" s="2" t="s">
        <v>5769</v>
      </c>
      <c r="B2360" s="2" t="s">
        <v>5769</v>
      </c>
      <c r="C2360" s="2" t="s">
        <v>59</v>
      </c>
      <c r="D2360" s="2" t="s">
        <v>18</v>
      </c>
      <c r="E2360" s="5">
        <v>-29316</v>
      </c>
      <c r="F2360" s="3" t="s">
        <v>166</v>
      </c>
      <c r="G2360" s="3" t="s">
        <v>33</v>
      </c>
      <c r="H2360" s="2" t="s">
        <v>65</v>
      </c>
      <c r="I2360" s="2" t="s">
        <v>5774</v>
      </c>
      <c r="J2360" s="3" t="str">
        <f>HYPERLINK("https://www.boe.es/gazeta/dias/1819/09/25/pdfs/GMD-1819-118.pdf#page=6","Abrir facsímil")</f>
        <v>Abrir facsímil</v>
      </c>
      <c r="K2360" s="3" t="s">
        <v>67</v>
      </c>
    </row>
    <row r="2361" spans="1:11" ht="42" customHeight="1">
      <c r="A2361" s="2" t="s">
        <v>5769</v>
      </c>
      <c r="B2361" s="2" t="s">
        <v>5769</v>
      </c>
      <c r="C2361" s="2" t="s">
        <v>136</v>
      </c>
      <c r="D2361" s="2" t="s">
        <v>18</v>
      </c>
      <c r="E2361" s="5">
        <v>-29306</v>
      </c>
      <c r="F2361" s="3" t="s">
        <v>303</v>
      </c>
      <c r="G2361" s="3" t="s">
        <v>28</v>
      </c>
      <c r="H2361" s="2" t="s">
        <v>65</v>
      </c>
      <c r="I2361" s="2" t="s">
        <v>5775</v>
      </c>
      <c r="J2361" s="3" t="str">
        <f>HYPERLINK("https://www.boe.es/gazeta/dias/1819/10/05/pdfs/GMD-1819-122.pdf#page=8","Abrir facsímil")</f>
        <v>Abrir facsímil</v>
      </c>
      <c r="K2361" s="3" t="s">
        <v>67</v>
      </c>
    </row>
    <row r="2362" spans="1:11" ht="42" customHeight="1">
      <c r="A2362" s="2" t="s">
        <v>5769</v>
      </c>
      <c r="B2362" s="2" t="s">
        <v>5769</v>
      </c>
      <c r="C2362" s="2" t="s">
        <v>136</v>
      </c>
      <c r="D2362" s="2" t="s">
        <v>18</v>
      </c>
      <c r="E2362" s="5">
        <v>-29260</v>
      </c>
      <c r="F2362" s="3" t="s">
        <v>93</v>
      </c>
      <c r="G2362" s="3" t="s">
        <v>33</v>
      </c>
      <c r="H2362" s="2" t="s">
        <v>65</v>
      </c>
      <c r="I2362" s="2" t="s">
        <v>5776</v>
      </c>
      <c r="J2362" s="3" t="str">
        <f>HYPERLINK("https://www.boe.es/gazeta/dias/1819/11/20/pdfs/GMD-1819-143.pdf#page=6","Abrir facsímil")</f>
        <v>Abrir facsímil</v>
      </c>
      <c r="K2362" s="3" t="s">
        <v>67</v>
      </c>
    </row>
    <row r="2363" spans="1:11" ht="42" customHeight="1">
      <c r="A2363" s="2" t="s">
        <v>5769</v>
      </c>
      <c r="B2363" s="2" t="s">
        <v>5769</v>
      </c>
      <c r="C2363" s="2" t="s">
        <v>80</v>
      </c>
      <c r="D2363" s="2" t="s">
        <v>81</v>
      </c>
      <c r="E2363" s="5">
        <v>-29229</v>
      </c>
      <c r="F2363" s="3" t="s">
        <v>44</v>
      </c>
      <c r="G2363" s="3" t="s">
        <v>55</v>
      </c>
      <c r="H2363" s="2" t="s">
        <v>65</v>
      </c>
      <c r="I2363" s="2" t="s">
        <v>5777</v>
      </c>
      <c r="J2363" s="3" t="str">
        <f>HYPERLINK("https://www.boe.es/gazeta/dias/1819/12/21/pdfs/GMD-1819-156.pdf#page=7","Abrir facsímil")</f>
        <v>Abrir facsímil</v>
      </c>
      <c r="K2363" s="3" t="s">
        <v>67</v>
      </c>
    </row>
    <row r="2364" spans="1:11" ht="42" customHeight="1">
      <c r="A2364" s="2" t="s">
        <v>5769</v>
      </c>
      <c r="B2364" s="2" t="s">
        <v>5769</v>
      </c>
      <c r="C2364" s="2" t="s">
        <v>136</v>
      </c>
      <c r="D2364" s="2" t="s">
        <v>18</v>
      </c>
      <c r="E2364" s="5">
        <v>-29225</v>
      </c>
      <c r="F2364" s="3" t="s">
        <v>472</v>
      </c>
      <c r="G2364" s="3" t="s">
        <v>55</v>
      </c>
      <c r="H2364" s="2" t="s">
        <v>65</v>
      </c>
      <c r="I2364" s="2" t="s">
        <v>5778</v>
      </c>
      <c r="J2364" s="3" t="str">
        <f>HYPERLINK("https://www.boe.es/gazeta/dias/1819/12/25/pdfs/GMD-1819-158.pdf#page=7","Abrir facsímil")</f>
        <v>Abrir facsímil</v>
      </c>
      <c r="K2364" s="3" t="s">
        <v>67</v>
      </c>
    </row>
    <row r="2365" spans="1:11" ht="42" customHeight="1">
      <c r="A2365" s="2" t="s">
        <v>5769</v>
      </c>
      <c r="B2365" s="2" t="s">
        <v>5769</v>
      </c>
      <c r="C2365" s="2" t="s">
        <v>63</v>
      </c>
      <c r="D2365" s="2" t="s">
        <v>43</v>
      </c>
      <c r="E2365" s="5">
        <v>-29222</v>
      </c>
      <c r="F2365" s="3" t="s">
        <v>338</v>
      </c>
      <c r="G2365" s="3" t="s">
        <v>339</v>
      </c>
      <c r="H2365" s="2" t="s">
        <v>65</v>
      </c>
      <c r="I2365" s="2" t="s">
        <v>5779</v>
      </c>
      <c r="J2365" s="3" t="str">
        <f>HYPERLINK("https://www.boe.es/gazeta/dias/1819/12/28/pdfs/GMD-1819-159.pdf#page=8","Abrir facsímil")</f>
        <v>Abrir facsímil</v>
      </c>
      <c r="K2365" s="3" t="s">
        <v>67</v>
      </c>
    </row>
    <row r="2366" spans="1:11" ht="42" customHeight="1">
      <c r="A2366" s="2" t="s">
        <v>5780</v>
      </c>
      <c r="B2366" s="2" t="s">
        <v>5781</v>
      </c>
      <c r="C2366" s="2" t="s">
        <v>59</v>
      </c>
      <c r="D2366" s="2" t="s">
        <v>18</v>
      </c>
      <c r="E2366" s="5">
        <v>-29430</v>
      </c>
      <c r="F2366" s="3" t="s">
        <v>178</v>
      </c>
      <c r="G2366" s="3" t="s">
        <v>33</v>
      </c>
      <c r="H2366" s="2" t="s">
        <v>65</v>
      </c>
      <c r="I2366" s="2" t="s">
        <v>5782</v>
      </c>
      <c r="J2366" s="3" t="str">
        <f>HYPERLINK("https://www.boe.es/gazeta/dias/1819/06/03/pdfs/GMD-1819-66.pdf#page=6","Abrir facsímil")</f>
        <v>Abrir facsímil</v>
      </c>
      <c r="K2366" s="3" t="s">
        <v>67</v>
      </c>
    </row>
    <row r="2367" spans="1:11" ht="42" customHeight="1">
      <c r="A2367" s="2" t="s">
        <v>5780</v>
      </c>
      <c r="B2367" s="2" t="s">
        <v>5781</v>
      </c>
      <c r="C2367" s="2" t="s">
        <v>59</v>
      </c>
      <c r="D2367" s="2" t="s">
        <v>18</v>
      </c>
      <c r="E2367" s="5">
        <v>-29421</v>
      </c>
      <c r="F2367" s="3" t="s">
        <v>1972</v>
      </c>
      <c r="G2367" s="3" t="s">
        <v>55</v>
      </c>
      <c r="H2367" s="2" t="s">
        <v>65</v>
      </c>
      <c r="I2367" s="2" t="s">
        <v>5783</v>
      </c>
      <c r="J2367" s="3" t="str">
        <f>HYPERLINK("https://www.boe.es/gazeta/dias/1819/06/12/pdfs/GMD-1819-70.pdf#page=7","Abrir facsímil")</f>
        <v>Abrir facsímil</v>
      </c>
      <c r="K2367" s="3" t="s">
        <v>67</v>
      </c>
    </row>
    <row r="2368" spans="1:11" ht="42" customHeight="1">
      <c r="A2368" s="2" t="s">
        <v>5784</v>
      </c>
      <c r="B2368" s="2" t="s">
        <v>5785</v>
      </c>
      <c r="C2368" s="2" t="s">
        <v>63</v>
      </c>
      <c r="D2368" s="2" t="s">
        <v>454</v>
      </c>
      <c r="E2368" s="5">
        <v>-29324</v>
      </c>
      <c r="F2368" s="3" t="s">
        <v>914</v>
      </c>
      <c r="G2368" s="3" t="s">
        <v>102</v>
      </c>
      <c r="H2368" s="2" t="s">
        <v>65</v>
      </c>
      <c r="I2368" s="2" t="s">
        <v>5786</v>
      </c>
      <c r="J2368" s="3" t="str">
        <f>HYPERLINK("https://www.boe.es/gazeta/dias/1819/09/17/pdfs/GMD-1819-114E.pdf#page=3","Abrir facsímil")</f>
        <v>Abrir facsímil</v>
      </c>
      <c r="K2368" s="3" t="s">
        <v>67</v>
      </c>
    </row>
    <row r="2369" spans="1:11" ht="42" customHeight="1">
      <c r="A2369" s="2" t="s">
        <v>5784</v>
      </c>
      <c r="B2369" s="2" t="s">
        <v>5785</v>
      </c>
      <c r="C2369" s="2" t="s">
        <v>63</v>
      </c>
      <c r="D2369" s="2" t="s">
        <v>43</v>
      </c>
      <c r="E2369" s="5">
        <v>-29246</v>
      </c>
      <c r="F2369" s="3" t="s">
        <v>494</v>
      </c>
      <c r="G2369" s="3" t="s">
        <v>5787</v>
      </c>
      <c r="H2369" s="2" t="s">
        <v>65</v>
      </c>
      <c r="I2369" s="2" t="s">
        <v>5788</v>
      </c>
      <c r="J2369" s="3" t="str">
        <f>HYPERLINK("https://www.boe.es/gazeta/dias/1819/12/04/pdfs/GMD-1819-149.pdf#page=5","Abrir facsímil")</f>
        <v>Abrir facsímil</v>
      </c>
      <c r="K2369" s="3" t="s">
        <v>67</v>
      </c>
    </row>
    <row r="2370" spans="1:11" ht="42" customHeight="1">
      <c r="A2370" s="2" t="s">
        <v>5789</v>
      </c>
      <c r="B2370" s="2" t="s">
        <v>5790</v>
      </c>
      <c r="C2370" s="2" t="s">
        <v>63</v>
      </c>
      <c r="D2370" s="2" t="s">
        <v>43</v>
      </c>
      <c r="E2370" s="5">
        <v>-29409</v>
      </c>
      <c r="F2370" s="3" t="s">
        <v>106</v>
      </c>
      <c r="G2370" s="3" t="s">
        <v>296</v>
      </c>
      <c r="H2370" s="2" t="s">
        <v>65</v>
      </c>
      <c r="I2370" s="2" t="s">
        <v>5791</v>
      </c>
      <c r="J2370" s="3" t="str">
        <f>HYPERLINK("https://www.boe.es/gazeta/dias/1819/06/24/pdfs/GMD-1819-76.pdf#page=4","Abrir facsímil")</f>
        <v>Abrir facsímil</v>
      </c>
      <c r="K2370" s="3" t="s">
        <v>67</v>
      </c>
    </row>
    <row r="2371" spans="1:11" ht="42" customHeight="1">
      <c r="A2371" s="2" t="s">
        <v>5789</v>
      </c>
      <c r="B2371" s="2" t="s">
        <v>5790</v>
      </c>
      <c r="C2371" s="2" t="s">
        <v>80</v>
      </c>
      <c r="D2371" s="2" t="s">
        <v>454</v>
      </c>
      <c r="E2371" s="5">
        <v>-29324</v>
      </c>
      <c r="F2371" s="3" t="s">
        <v>914</v>
      </c>
      <c r="G2371" s="3" t="s">
        <v>102</v>
      </c>
      <c r="H2371" s="2" t="s">
        <v>65</v>
      </c>
      <c r="I2371" s="2" t="s">
        <v>5792</v>
      </c>
      <c r="J2371" s="3" t="str">
        <f>HYPERLINK("https://www.boe.es/gazeta/dias/1819/09/17/pdfs/GMD-1819-114E.pdf#page=3","Abrir facsímil")</f>
        <v>Abrir facsímil</v>
      </c>
      <c r="K2371" s="3" t="s">
        <v>67</v>
      </c>
    </row>
    <row r="2372" spans="1:11" ht="42" customHeight="1">
      <c r="A2372" s="2" t="s">
        <v>5793</v>
      </c>
      <c r="B2372" s="2" t="s">
        <v>5794</v>
      </c>
      <c r="C2372" s="2" t="s">
        <v>80</v>
      </c>
      <c r="D2372" s="2" t="s">
        <v>81</v>
      </c>
      <c r="E2372" s="5">
        <v>-29316</v>
      </c>
      <c r="F2372" s="3" t="s">
        <v>166</v>
      </c>
      <c r="G2372" s="3" t="s">
        <v>94</v>
      </c>
      <c r="H2372" s="2" t="s">
        <v>65</v>
      </c>
      <c r="I2372" s="2" t="s">
        <v>5795</v>
      </c>
      <c r="J2372" s="3" t="str">
        <f>HYPERLINK("https://www.boe.es/gazeta/dias/1819/09/25/pdfs/GMD-1819-118.pdf#page=11","Abrir facsímil")</f>
        <v>Abrir facsímil</v>
      </c>
      <c r="K2372" s="3" t="s">
        <v>67</v>
      </c>
    </row>
    <row r="2373" spans="1:11" ht="42" customHeight="1">
      <c r="A2373" s="2" t="s">
        <v>5789</v>
      </c>
      <c r="B2373" s="2" t="s">
        <v>5790</v>
      </c>
      <c r="C2373" s="2" t="s">
        <v>63</v>
      </c>
      <c r="D2373" s="2" t="s">
        <v>454</v>
      </c>
      <c r="E2373" s="5">
        <v>-29287</v>
      </c>
      <c r="F2373" s="3" t="s">
        <v>455</v>
      </c>
      <c r="G2373" s="3" t="s">
        <v>481</v>
      </c>
      <c r="H2373" s="2" t="s">
        <v>65</v>
      </c>
      <c r="I2373" s="2" t="s">
        <v>5796</v>
      </c>
      <c r="J2373" s="3" t="str">
        <f>HYPERLINK("https://www.boe.es/gazeta/dias/1819/10/24/pdfs/GMD-1819-131E.pdf#page=8","Abrir facsímil")</f>
        <v>Abrir facsímil</v>
      </c>
      <c r="K2373" s="3" t="s">
        <v>67</v>
      </c>
    </row>
    <row r="2374" spans="1:11" ht="42" customHeight="1">
      <c r="A2374" s="2" t="s">
        <v>5797</v>
      </c>
      <c r="B2374" s="2" t="s">
        <v>5798</v>
      </c>
      <c r="C2374" s="2" t="s">
        <v>26</v>
      </c>
      <c r="D2374" s="2" t="s">
        <v>18</v>
      </c>
      <c r="E2374" s="5">
        <v>-29411</v>
      </c>
      <c r="F2374" s="3" t="s">
        <v>317</v>
      </c>
      <c r="G2374" s="3" t="s">
        <v>38</v>
      </c>
      <c r="H2374" s="2" t="s">
        <v>65</v>
      </c>
      <c r="I2374" s="2" t="s">
        <v>5799</v>
      </c>
      <c r="J2374" s="3" t="str">
        <f>HYPERLINK("https://www.boe.es/gazeta/dias/1819/06/22/pdfs/GMD-1819-75.pdf#page=5","Abrir facsímil")</f>
        <v>Abrir facsímil</v>
      </c>
      <c r="K2374" s="3" t="s">
        <v>67</v>
      </c>
    </row>
    <row r="2375" spans="1:11" ht="42" customHeight="1">
      <c r="A2375" s="2" t="s">
        <v>5800</v>
      </c>
      <c r="B2375" s="2" t="s">
        <v>5801</v>
      </c>
      <c r="C2375" s="2" t="s">
        <v>59</v>
      </c>
      <c r="D2375" s="2" t="s">
        <v>18</v>
      </c>
      <c r="E2375" s="5">
        <v>-29484</v>
      </c>
      <c r="F2375" s="3" t="s">
        <v>295</v>
      </c>
      <c r="G2375" s="3" t="s">
        <v>296</v>
      </c>
      <c r="H2375" s="2" t="s">
        <v>65</v>
      </c>
      <c r="I2375" s="2" t="s">
        <v>5802</v>
      </c>
      <c r="J2375" s="3" t="str">
        <f>HYPERLINK("https://www.boe.es/gazeta/dias/1819/04/10/pdfs/GMD-1819-43.pdf#page=4","Abrir facsímil")</f>
        <v>Abrir facsímil</v>
      </c>
      <c r="K2375" s="3" t="s">
        <v>67</v>
      </c>
    </row>
    <row r="2376" spans="1:11" ht="42" customHeight="1">
      <c r="A2376" s="2" t="s">
        <v>5803</v>
      </c>
      <c r="B2376" s="2" t="s">
        <v>5804</v>
      </c>
      <c r="C2376" s="2" t="s">
        <v>80</v>
      </c>
      <c r="D2376" s="2" t="s">
        <v>81</v>
      </c>
      <c r="E2376" s="5">
        <v>-29297</v>
      </c>
      <c r="F2376" s="3" t="s">
        <v>82</v>
      </c>
      <c r="G2376" s="3" t="s">
        <v>33</v>
      </c>
      <c r="H2376" s="2" t="s">
        <v>65</v>
      </c>
      <c r="I2376" s="2" t="s">
        <v>5805</v>
      </c>
      <c r="J2376" s="3" t="str">
        <f>HYPERLINK("https://www.boe.es/gazeta/dias/1819/10/14/pdfs/GMD-1819-126.pdf#page=6","Abrir facsímil")</f>
        <v>Abrir facsímil</v>
      </c>
      <c r="K2376" s="3" t="s">
        <v>67</v>
      </c>
    </row>
    <row r="2377" spans="1:11" ht="42" customHeight="1">
      <c r="A2377" s="2" t="s">
        <v>5806</v>
      </c>
      <c r="B2377" s="2" t="s">
        <v>5807</v>
      </c>
      <c r="C2377" s="2" t="s">
        <v>59</v>
      </c>
      <c r="D2377" s="2" t="s">
        <v>18</v>
      </c>
      <c r="E2377" s="5">
        <v>-29269</v>
      </c>
      <c r="F2377" s="3" t="s">
        <v>565</v>
      </c>
      <c r="G2377" s="3" t="s">
        <v>38</v>
      </c>
      <c r="H2377" s="2" t="s">
        <v>65</v>
      </c>
      <c r="I2377" s="2" t="s">
        <v>5808</v>
      </c>
      <c r="J2377" s="3" t="str">
        <f>HYPERLINK("https://www.boe.es/gazeta/dias/1819/11/11/pdfs/GMD-1819-139.pdf#page=5","Abrir facsímil")</f>
        <v>Abrir facsímil</v>
      </c>
      <c r="K2377" s="3" t="s">
        <v>67</v>
      </c>
    </row>
    <row r="2378" spans="1:11" ht="42" customHeight="1">
      <c r="A2378" s="2" t="s">
        <v>5809</v>
      </c>
      <c r="B2378" s="2" t="s">
        <v>5809</v>
      </c>
      <c r="C2378" s="2" t="s">
        <v>26</v>
      </c>
      <c r="D2378" s="2" t="s">
        <v>18</v>
      </c>
      <c r="E2378" s="5">
        <v>-29271</v>
      </c>
      <c r="F2378" s="3" t="s">
        <v>32</v>
      </c>
      <c r="G2378" s="3" t="s">
        <v>33</v>
      </c>
      <c r="H2378" s="2" t="s">
        <v>65</v>
      </c>
      <c r="I2378" s="2" t="s">
        <v>5810</v>
      </c>
      <c r="J2378" s="3" t="str">
        <f>HYPERLINK("https://www.boe.es/gazeta/dias/1819/11/09/pdfs/GMD-1819-138.pdf#page=6","Abrir facsímil")</f>
        <v>Abrir facsímil</v>
      </c>
      <c r="K2378" s="3" t="s">
        <v>67</v>
      </c>
    </row>
    <row r="2379" spans="1:11" ht="42" customHeight="1">
      <c r="A2379" s="2" t="s">
        <v>5811</v>
      </c>
      <c r="B2379" s="2" t="s">
        <v>5811</v>
      </c>
      <c r="C2379" s="2" t="s">
        <v>136</v>
      </c>
      <c r="D2379" s="2" t="s">
        <v>18</v>
      </c>
      <c r="E2379" s="5">
        <v>-29458</v>
      </c>
      <c r="F2379" s="3" t="s">
        <v>766</v>
      </c>
      <c r="G2379" s="3" t="s">
        <v>33</v>
      </c>
      <c r="H2379" s="2" t="s">
        <v>65</v>
      </c>
      <c r="I2379" s="2" t="s">
        <v>5812</v>
      </c>
      <c r="J2379" s="3" t="str">
        <f>HYPERLINK("https://www.boe.es/gazeta/dias/1819/05/06/pdfs/GMD-1819-54.pdf#page=6","Abrir facsímil")</f>
        <v>Abrir facsímil</v>
      </c>
      <c r="K2379" s="3" t="s">
        <v>67</v>
      </c>
    </row>
    <row r="2380" spans="1:11" ht="42" customHeight="1">
      <c r="A2380" s="2" t="s">
        <v>5813</v>
      </c>
      <c r="B2380" s="2" t="s">
        <v>5814</v>
      </c>
      <c r="C2380" s="2" t="s">
        <v>17</v>
      </c>
      <c r="D2380" s="2" t="s">
        <v>18</v>
      </c>
      <c r="E2380" s="5">
        <v>-29337</v>
      </c>
      <c r="F2380" s="3" t="s">
        <v>1098</v>
      </c>
      <c r="G2380" s="3" t="s">
        <v>28</v>
      </c>
      <c r="H2380" s="2" t="s">
        <v>65</v>
      </c>
      <c r="I2380" s="2" t="s">
        <v>5815</v>
      </c>
      <c r="J2380" s="3" t="str">
        <f>HYPERLINK("https://www.boe.es/gazeta/dias/1819/09/04/pdfs/GMD-1819-108.pdf#page=8","Abrir facsímil")</f>
        <v>Abrir facsímil</v>
      </c>
      <c r="K2380" s="3" t="s">
        <v>67</v>
      </c>
    </row>
    <row r="2381" spans="1:11" ht="42" customHeight="1">
      <c r="A2381" s="2" t="s">
        <v>5816</v>
      </c>
      <c r="B2381" s="2" t="s">
        <v>5817</v>
      </c>
      <c r="C2381" s="2" t="s">
        <v>17</v>
      </c>
      <c r="D2381" s="2" t="s">
        <v>18</v>
      </c>
      <c r="E2381" s="5">
        <v>-29358</v>
      </c>
      <c r="F2381" s="3" t="s">
        <v>170</v>
      </c>
      <c r="G2381" s="3" t="s">
        <v>38</v>
      </c>
      <c r="H2381" s="2" t="s">
        <v>65</v>
      </c>
      <c r="I2381" s="2" t="s">
        <v>5818</v>
      </c>
      <c r="J2381" s="3" t="str">
        <f>HYPERLINK("https://www.boe.es/gazeta/dias/1819/08/14/pdfs/GMD-1819-98.pdf#page=5","Abrir facsímil")</f>
        <v>Abrir facsímil</v>
      </c>
      <c r="K2381" s="3" t="s">
        <v>67</v>
      </c>
    </row>
    <row r="2382" spans="1:11" ht="42" customHeight="1">
      <c r="A2382" s="2" t="s">
        <v>5816</v>
      </c>
      <c r="B2382" s="2" t="s">
        <v>5817</v>
      </c>
      <c r="C2382" s="2" t="s">
        <v>80</v>
      </c>
      <c r="D2382" s="2" t="s">
        <v>454</v>
      </c>
      <c r="E2382" s="5">
        <v>-29287</v>
      </c>
      <c r="F2382" s="3" t="s">
        <v>455</v>
      </c>
      <c r="G2382" s="3" t="s">
        <v>1113</v>
      </c>
      <c r="H2382" s="2" t="s">
        <v>65</v>
      </c>
      <c r="I2382" s="2" t="s">
        <v>5819</v>
      </c>
      <c r="J2382" s="3" t="str">
        <f>HYPERLINK("https://www.boe.es/gazeta/dias/1819/10/24/pdfs/GMD-1819-131E.pdf#page=7","Abrir facsímil")</f>
        <v>Abrir facsímil</v>
      </c>
      <c r="K2382" s="3" t="s">
        <v>67</v>
      </c>
    </row>
    <row r="2383" spans="1:11" ht="42" customHeight="1">
      <c r="A2383" s="2" t="s">
        <v>5820</v>
      </c>
      <c r="B2383" s="2" t="s">
        <v>5821</v>
      </c>
      <c r="C2383" s="2" t="s">
        <v>59</v>
      </c>
      <c r="D2383" s="2" t="s">
        <v>18</v>
      </c>
      <c r="E2383" s="5">
        <v>-29253</v>
      </c>
      <c r="F2383" s="3" t="s">
        <v>242</v>
      </c>
      <c r="G2383" s="3" t="s">
        <v>33</v>
      </c>
      <c r="H2383" s="2" t="s">
        <v>65</v>
      </c>
      <c r="I2383" s="2" t="s">
        <v>5822</v>
      </c>
      <c r="J2383" s="3" t="str">
        <f>HYPERLINK("https://www.boe.es/gazeta/dias/1819/11/27/pdfs/GMD-1819-146.pdf#page=6","Abrir facsímil")</f>
        <v>Abrir facsímil</v>
      </c>
      <c r="K2383" s="3" t="s">
        <v>67</v>
      </c>
    </row>
    <row r="2384" spans="1:11" ht="42" customHeight="1">
      <c r="A2384" s="2" t="s">
        <v>5823</v>
      </c>
      <c r="B2384" s="2" t="s">
        <v>5824</v>
      </c>
      <c r="C2384" s="2" t="s">
        <v>59</v>
      </c>
      <c r="D2384" s="2" t="s">
        <v>18</v>
      </c>
      <c r="E2384" s="5">
        <v>-29369</v>
      </c>
      <c r="F2384" s="3" t="s">
        <v>231</v>
      </c>
      <c r="G2384" s="3" t="s">
        <v>28</v>
      </c>
      <c r="H2384" s="2" t="s">
        <v>21</v>
      </c>
      <c r="I2384" s="2" t="s">
        <v>5825</v>
      </c>
      <c r="J2384" s="3" t="str">
        <f>HYPERLINK("https://www.boe.es/gazeta/dias/1819/08/03/pdfs/GMD-1819-93.pdf#page=8","Abrir facsímil")</f>
        <v>Abrir facsímil</v>
      </c>
      <c r="K2384" s="3" t="s">
        <v>23</v>
      </c>
    </row>
    <row r="2385" spans="1:11" ht="42" customHeight="1">
      <c r="A2385" s="2" t="s">
        <v>5826</v>
      </c>
      <c r="B2385" s="2" t="s">
        <v>5827</v>
      </c>
      <c r="C2385" s="2" t="s">
        <v>80</v>
      </c>
      <c r="D2385" s="2" t="s">
        <v>81</v>
      </c>
      <c r="E2385" s="5">
        <v>-29488</v>
      </c>
      <c r="F2385" s="3" t="s">
        <v>27</v>
      </c>
      <c r="G2385" s="3" t="s">
        <v>33</v>
      </c>
      <c r="H2385" s="2" t="s">
        <v>65</v>
      </c>
      <c r="I2385" s="2" t="s">
        <v>5828</v>
      </c>
      <c r="J2385" s="3" t="str">
        <f>HYPERLINK("https://www.boe.es/gazeta/dias/1819/04/06/pdfs/GMD-1819-41.pdf#page=6","Abrir facsímil")</f>
        <v>Abrir facsímil</v>
      </c>
      <c r="K2385" s="3" t="s">
        <v>67</v>
      </c>
    </row>
    <row r="2386" spans="1:11" ht="42" customHeight="1">
      <c r="A2386" s="2" t="s">
        <v>5829</v>
      </c>
      <c r="B2386" s="2" t="s">
        <v>5830</v>
      </c>
      <c r="C2386" s="2" t="s">
        <v>59</v>
      </c>
      <c r="D2386" s="2" t="s">
        <v>18</v>
      </c>
      <c r="E2386" s="5">
        <v>-29337</v>
      </c>
      <c r="F2386" s="3" t="s">
        <v>1098</v>
      </c>
      <c r="G2386" s="3" t="s">
        <v>28</v>
      </c>
      <c r="H2386" s="2" t="s">
        <v>65</v>
      </c>
      <c r="I2386" s="2" t="s">
        <v>5831</v>
      </c>
      <c r="J2386" s="3" t="str">
        <f>HYPERLINK("https://www.boe.es/gazeta/dias/1819/09/04/pdfs/GMD-1819-108.pdf#page=8","Abrir facsímil")</f>
        <v>Abrir facsímil</v>
      </c>
      <c r="K2386" s="3" t="s">
        <v>67</v>
      </c>
    </row>
    <row r="2387" spans="1:11" ht="42" customHeight="1">
      <c r="A2387" s="2" t="s">
        <v>5832</v>
      </c>
      <c r="B2387" s="2" t="s">
        <v>5833</v>
      </c>
      <c r="C2387" s="2" t="s">
        <v>26</v>
      </c>
      <c r="D2387" s="2" t="s">
        <v>18</v>
      </c>
      <c r="E2387" s="5">
        <v>-29533</v>
      </c>
      <c r="F2387" s="3" t="s">
        <v>280</v>
      </c>
      <c r="G2387" s="3" t="s">
        <v>28</v>
      </c>
      <c r="H2387" s="2" t="s">
        <v>65</v>
      </c>
      <c r="I2387" s="2" t="s">
        <v>5834</v>
      </c>
      <c r="J2387" s="3" t="str">
        <f>HYPERLINK("https://www.boe.es/gazeta/dias/1819/02/20/pdfs/GMD-1819-22.pdf#page=8","Abrir facsímil")</f>
        <v>Abrir facsímil</v>
      </c>
      <c r="K2387" s="3" t="s">
        <v>67</v>
      </c>
    </row>
    <row r="2388" spans="1:11" ht="42" customHeight="1">
      <c r="A2388" s="2" t="s">
        <v>5835</v>
      </c>
      <c r="B2388" s="2" t="s">
        <v>5836</v>
      </c>
      <c r="C2388" s="2" t="s">
        <v>17</v>
      </c>
      <c r="D2388" s="2" t="s">
        <v>18</v>
      </c>
      <c r="E2388" s="5">
        <v>-29367</v>
      </c>
      <c r="F2388" s="3" t="s">
        <v>571</v>
      </c>
      <c r="G2388" s="3" t="s">
        <v>28</v>
      </c>
      <c r="H2388" s="2" t="s">
        <v>65</v>
      </c>
      <c r="I2388" s="2" t="s">
        <v>5837</v>
      </c>
      <c r="J2388" s="3" t="str">
        <f>HYPERLINK("https://www.boe.es/gazeta/dias/1819/08/05/pdfs/GMD-1819-94.pdf#page=8","Abrir facsímil")</f>
        <v>Abrir facsímil</v>
      </c>
      <c r="K2388" s="3" t="s">
        <v>67</v>
      </c>
    </row>
    <row r="2389" spans="1:11" ht="42" customHeight="1">
      <c r="A2389" s="2" t="s">
        <v>5835</v>
      </c>
      <c r="B2389" s="2" t="s">
        <v>5836</v>
      </c>
      <c r="C2389" s="2" t="s">
        <v>42</v>
      </c>
      <c r="D2389" s="2" t="s">
        <v>43</v>
      </c>
      <c r="E2389" s="5">
        <v>-29318</v>
      </c>
      <c r="F2389" s="3" t="s">
        <v>1442</v>
      </c>
      <c r="G2389" s="3" t="s">
        <v>1443</v>
      </c>
      <c r="H2389" s="2" t="s">
        <v>65</v>
      </c>
      <c r="I2389" s="2" t="s">
        <v>5838</v>
      </c>
      <c r="J2389" s="3" t="str">
        <f>HYPERLINK("https://www.boe.es/gazeta/dias/1819/09/23/pdfs/GMD-1819-117.pdf#page=8","Abrir facsímil")</f>
        <v>Abrir facsímil</v>
      </c>
      <c r="K2389" s="3" t="s">
        <v>67</v>
      </c>
    </row>
    <row r="2390" spans="1:11" ht="42" customHeight="1">
      <c r="A2390" s="2" t="s">
        <v>5832</v>
      </c>
      <c r="B2390" s="2" t="s">
        <v>5833</v>
      </c>
      <c r="C2390" s="2" t="s">
        <v>80</v>
      </c>
      <c r="D2390" s="2" t="s">
        <v>81</v>
      </c>
      <c r="E2390" s="5">
        <v>-29271</v>
      </c>
      <c r="F2390" s="3" t="s">
        <v>32</v>
      </c>
      <c r="G2390" s="3" t="s">
        <v>28</v>
      </c>
      <c r="H2390" s="2" t="s">
        <v>65</v>
      </c>
      <c r="I2390" s="2" t="s">
        <v>5839</v>
      </c>
      <c r="J2390" s="3" t="str">
        <f>HYPERLINK("https://www.boe.es/gazeta/dias/1819/11/09/pdfs/GMD-1819-138.pdf#page=8","Abrir facsímil")</f>
        <v>Abrir facsímil</v>
      </c>
      <c r="K2390" s="3" t="s">
        <v>67</v>
      </c>
    </row>
    <row r="2391" spans="1:11" ht="42" customHeight="1">
      <c r="A2391" s="2" t="s">
        <v>5840</v>
      </c>
      <c r="B2391" s="2" t="s">
        <v>5841</v>
      </c>
      <c r="C2391" s="2" t="s">
        <v>80</v>
      </c>
      <c r="D2391" s="2" t="s">
        <v>81</v>
      </c>
      <c r="E2391" s="5">
        <v>-29416</v>
      </c>
      <c r="F2391" s="3" t="s">
        <v>251</v>
      </c>
      <c r="G2391" s="3" t="s">
        <v>296</v>
      </c>
      <c r="H2391" s="2" t="s">
        <v>65</v>
      </c>
      <c r="I2391" s="2" t="s">
        <v>5842</v>
      </c>
      <c r="J2391" s="3" t="str">
        <f>HYPERLINK("https://www.boe.es/gazeta/dias/1819/06/17/pdfs/GMD-1819-73.pdf#page=4","Abrir facsímil")</f>
        <v>Abrir facsímil</v>
      </c>
      <c r="K2391" s="3" t="s">
        <v>67</v>
      </c>
    </row>
    <row r="2392" spans="1:11" ht="42" customHeight="1">
      <c r="A2392" s="2" t="s">
        <v>5843</v>
      </c>
      <c r="B2392" s="2" t="s">
        <v>5844</v>
      </c>
      <c r="C2392" s="2" t="s">
        <v>80</v>
      </c>
      <c r="D2392" s="2" t="s">
        <v>81</v>
      </c>
      <c r="E2392" s="5">
        <v>-29264</v>
      </c>
      <c r="F2392" s="3" t="s">
        <v>37</v>
      </c>
      <c r="G2392" s="3" t="s">
        <v>5761</v>
      </c>
      <c r="H2392" s="2" t="s">
        <v>65</v>
      </c>
      <c r="I2392" s="2" t="s">
        <v>5845</v>
      </c>
      <c r="J2392" s="3" t="str">
        <f>HYPERLINK("https://www.boe.es/gazeta/dias/1819/11/16/pdfs/GMD-1819-141.pdf#page=4","Abrir facsímil")</f>
        <v>Abrir facsímil</v>
      </c>
      <c r="K2392" s="3" t="s">
        <v>67</v>
      </c>
    </row>
    <row r="2393" spans="1:11" ht="42" customHeight="1">
      <c r="A2393" s="2" t="s">
        <v>5846</v>
      </c>
      <c r="B2393" s="2" t="s">
        <v>5847</v>
      </c>
      <c r="C2393" s="2" t="s">
        <v>59</v>
      </c>
      <c r="D2393" s="2" t="s">
        <v>18</v>
      </c>
      <c r="E2393" s="5">
        <v>-29505</v>
      </c>
      <c r="F2393" s="3" t="s">
        <v>597</v>
      </c>
      <c r="G2393" s="3" t="s">
        <v>5848</v>
      </c>
      <c r="H2393" s="2" t="s">
        <v>21</v>
      </c>
      <c r="I2393" s="2" t="s">
        <v>5849</v>
      </c>
      <c r="J2393" s="3" t="str">
        <f>HYPERLINK("https://www.boe.es/gazeta/dias/1819/03/20/pdfs/GMD-1819-34.pdf#page=4","Abrir facsímil")</f>
        <v>Abrir facsímil</v>
      </c>
      <c r="K2393" s="3" t="s">
        <v>23</v>
      </c>
    </row>
    <row r="2394" spans="1:11" ht="42" customHeight="1">
      <c r="A2394" s="2" t="s">
        <v>5850</v>
      </c>
      <c r="B2394" s="2" t="s">
        <v>5850</v>
      </c>
      <c r="C2394" s="2" t="s">
        <v>59</v>
      </c>
      <c r="D2394" s="2" t="s">
        <v>18</v>
      </c>
      <c r="E2394" s="5">
        <v>-29267</v>
      </c>
      <c r="F2394" s="3" t="s">
        <v>370</v>
      </c>
      <c r="G2394" s="3" t="s">
        <v>33</v>
      </c>
      <c r="H2394" s="2" t="s">
        <v>65</v>
      </c>
      <c r="I2394" s="2" t="s">
        <v>5851</v>
      </c>
      <c r="J2394" s="3" t="str">
        <f>HYPERLINK("https://www.boe.es/gazeta/dias/1819/11/13/pdfs/GMD-1819-140.pdf#page=6","Abrir facsímil")</f>
        <v>Abrir facsímil</v>
      </c>
      <c r="K2394" s="3" t="s">
        <v>67</v>
      </c>
    </row>
    <row r="2395" spans="1:11" ht="42" customHeight="1">
      <c r="A2395" s="2" t="s">
        <v>5852</v>
      </c>
      <c r="B2395" s="2" t="s">
        <v>5852</v>
      </c>
      <c r="C2395" s="2" t="s">
        <v>59</v>
      </c>
      <c r="D2395" s="2" t="s">
        <v>18</v>
      </c>
      <c r="E2395" s="5">
        <v>-29309</v>
      </c>
      <c r="F2395" s="3" t="s">
        <v>476</v>
      </c>
      <c r="G2395" s="3" t="s">
        <v>239</v>
      </c>
      <c r="H2395" s="2" t="s">
        <v>65</v>
      </c>
      <c r="I2395" s="2" t="s">
        <v>5853</v>
      </c>
      <c r="J2395" s="3" t="str">
        <f>HYPERLINK("https://www.boe.es/gazeta/dias/1819/10/02/pdfs/GMD-1819-121.pdf#page=1","Abrir facsímil")</f>
        <v>Abrir facsímil</v>
      </c>
      <c r="K2395" s="3" t="s">
        <v>67</v>
      </c>
    </row>
    <row r="2396" spans="1:11" ht="42" customHeight="1">
      <c r="A2396" s="2" t="s">
        <v>5852</v>
      </c>
      <c r="B2396" s="2" t="s">
        <v>5852</v>
      </c>
      <c r="C2396" s="2" t="s">
        <v>63</v>
      </c>
      <c r="D2396" s="2" t="s">
        <v>43</v>
      </c>
      <c r="E2396" s="5">
        <v>-29299</v>
      </c>
      <c r="F2396" s="3" t="s">
        <v>798</v>
      </c>
      <c r="G2396" s="3" t="s">
        <v>5854</v>
      </c>
      <c r="H2396" s="2" t="s">
        <v>65</v>
      </c>
      <c r="I2396" s="2" t="s">
        <v>5855</v>
      </c>
      <c r="J2396" s="3" t="str">
        <f>HYPERLINK("https://www.boe.es/gazeta/dias/1819/10/12/pdfs/GMD-1819-125.pdf#page=2","Abrir facsímil")</f>
        <v>Abrir facsímil</v>
      </c>
      <c r="K2396" s="3" t="s">
        <v>67</v>
      </c>
    </row>
    <row r="2397" spans="1:11" ht="42" customHeight="1">
      <c r="A2397" s="2" t="s">
        <v>5852</v>
      </c>
      <c r="B2397" s="2" t="s">
        <v>5852</v>
      </c>
      <c r="C2397" s="2" t="s">
        <v>26</v>
      </c>
      <c r="D2397" s="2" t="s">
        <v>18</v>
      </c>
      <c r="E2397" s="5">
        <v>-29292</v>
      </c>
      <c r="F2397" s="3" t="s">
        <v>875</v>
      </c>
      <c r="G2397" s="3" t="s">
        <v>239</v>
      </c>
      <c r="H2397" s="2" t="s">
        <v>65</v>
      </c>
      <c r="I2397" s="2" t="s">
        <v>5856</v>
      </c>
      <c r="J2397" s="3" t="str">
        <f>HYPERLINK("https://www.boe.es/gazeta/dias/1819/10/19/pdfs/GMD-1819-128.pdf#page=1","Abrir facsímil")</f>
        <v>Abrir facsímil</v>
      </c>
      <c r="K2397" s="3" t="s">
        <v>67</v>
      </c>
    </row>
    <row r="2398" spans="1:11" ht="42" customHeight="1">
      <c r="A2398" s="2" t="s">
        <v>5857</v>
      </c>
      <c r="B2398" s="2" t="s">
        <v>5858</v>
      </c>
      <c r="C2398" s="2" t="s">
        <v>63</v>
      </c>
      <c r="D2398" s="2" t="s">
        <v>43</v>
      </c>
      <c r="E2398" s="5">
        <v>-29421</v>
      </c>
      <c r="F2398" s="3" t="s">
        <v>1972</v>
      </c>
      <c r="G2398" s="3" t="s">
        <v>1973</v>
      </c>
      <c r="H2398" s="2" t="s">
        <v>21</v>
      </c>
      <c r="I2398" s="2" t="s">
        <v>5859</v>
      </c>
      <c r="J2398" s="3" t="str">
        <f>HYPERLINK("https://www.boe.es/gazeta/dias/1819/06/12/pdfs/GMD-1819-70.pdf#page=6","Abrir facsímil")</f>
        <v>Abrir facsímil</v>
      </c>
      <c r="K2398" s="3" t="s">
        <v>23</v>
      </c>
    </row>
    <row r="2399" spans="1:11" ht="42" customHeight="1">
      <c r="A2399" s="2" t="s">
        <v>5860</v>
      </c>
      <c r="B2399" s="2" t="s">
        <v>5861</v>
      </c>
      <c r="C2399" s="2" t="s">
        <v>59</v>
      </c>
      <c r="D2399" s="2" t="s">
        <v>18</v>
      </c>
      <c r="E2399" s="5">
        <v>-29439</v>
      </c>
      <c r="F2399" s="3" t="s">
        <v>1101</v>
      </c>
      <c r="G2399" s="3" t="s">
        <v>38</v>
      </c>
      <c r="H2399" s="2" t="s">
        <v>65</v>
      </c>
      <c r="I2399" s="2" t="s">
        <v>5862</v>
      </c>
      <c r="J2399" s="3" t="str">
        <f>HYPERLINK("https://www.boe.es/gazeta/dias/1819/05/25/pdfs/GMD-1819-62.pdf#page=5","Abrir facsímil")</f>
        <v>Abrir facsímil</v>
      </c>
      <c r="K2399" s="3" t="s">
        <v>67</v>
      </c>
    </row>
    <row r="2400" spans="1:11" ht="42" customHeight="1">
      <c r="A2400" s="2" t="s">
        <v>5860</v>
      </c>
      <c r="B2400" s="2" t="s">
        <v>5861</v>
      </c>
      <c r="C2400" s="2" t="s">
        <v>80</v>
      </c>
      <c r="D2400" s="2" t="s">
        <v>81</v>
      </c>
      <c r="E2400" s="5">
        <v>-29418</v>
      </c>
      <c r="F2400" s="3" t="s">
        <v>447</v>
      </c>
      <c r="G2400" s="3" t="s">
        <v>33</v>
      </c>
      <c r="H2400" s="2" t="s">
        <v>65</v>
      </c>
      <c r="I2400" s="2" t="s">
        <v>5863</v>
      </c>
      <c r="J2400" s="3" t="str">
        <f>HYPERLINK("https://www.boe.es/gazeta/dias/1819/06/15/pdfs/GMD-1819-72.pdf#page=6","Abrir facsímil")</f>
        <v>Abrir facsímil</v>
      </c>
      <c r="K2400" s="3" t="s">
        <v>67</v>
      </c>
    </row>
    <row r="2401" spans="1:11" ht="42" customHeight="1">
      <c r="A2401" s="2" t="s">
        <v>5864</v>
      </c>
      <c r="B2401" s="2" t="s">
        <v>5865</v>
      </c>
      <c r="C2401" s="2" t="s">
        <v>63</v>
      </c>
      <c r="D2401" s="2" t="s">
        <v>43</v>
      </c>
      <c r="E2401" s="5">
        <v>-29442</v>
      </c>
      <c r="F2401" s="3" t="s">
        <v>427</v>
      </c>
      <c r="G2401" s="3" t="s">
        <v>28</v>
      </c>
      <c r="H2401" s="2" t="s">
        <v>65</v>
      </c>
      <c r="I2401" s="2" t="s">
        <v>5866</v>
      </c>
      <c r="J2401" s="3" t="str">
        <f>HYPERLINK("https://www.boe.es/gazeta/dias/1819/05/22/pdfs/GMD-1819-61.pdf#page=8","Abrir facsímil")</f>
        <v>Abrir facsímil</v>
      </c>
      <c r="K2401" s="3" t="s">
        <v>67</v>
      </c>
    </row>
    <row r="2402" spans="1:11" ht="42" customHeight="1">
      <c r="A2402" s="2" t="s">
        <v>5867</v>
      </c>
      <c r="B2402" s="2" t="s">
        <v>5868</v>
      </c>
      <c r="C2402" s="2" t="s">
        <v>80</v>
      </c>
      <c r="D2402" s="2" t="s">
        <v>81</v>
      </c>
      <c r="E2402" s="5">
        <v>-29297</v>
      </c>
      <c r="F2402" s="3" t="s">
        <v>82</v>
      </c>
      <c r="G2402" s="3" t="s">
        <v>33</v>
      </c>
      <c r="H2402" s="2" t="s">
        <v>65</v>
      </c>
      <c r="I2402" s="2" t="s">
        <v>5869</v>
      </c>
      <c r="J2402" s="3" t="str">
        <f>HYPERLINK("https://www.boe.es/gazeta/dias/1819/10/14/pdfs/GMD-1819-126.pdf#page=6","Abrir facsímil")</f>
        <v>Abrir facsímil</v>
      </c>
      <c r="K2402" s="3" t="s">
        <v>67</v>
      </c>
    </row>
    <row r="2403" spans="1:11" ht="42" customHeight="1">
      <c r="A2403" s="2" t="s">
        <v>5870</v>
      </c>
      <c r="B2403" s="2" t="s">
        <v>5871</v>
      </c>
      <c r="C2403" s="2" t="s">
        <v>63</v>
      </c>
      <c r="D2403" s="2" t="s">
        <v>43</v>
      </c>
      <c r="E2403" s="5">
        <v>-29575</v>
      </c>
      <c r="F2403" s="3" t="s">
        <v>77</v>
      </c>
      <c r="G2403" s="3" t="s">
        <v>38</v>
      </c>
      <c r="H2403" s="2" t="s">
        <v>65</v>
      </c>
      <c r="I2403" s="2" t="s">
        <v>5872</v>
      </c>
      <c r="J2403" s="3" t="str">
        <f>HYPERLINK("https://www.boe.es/gazeta/dias/1819/01/09/pdfs/GMD-1819-4.pdf#page=5","Abrir facsímil")</f>
        <v>Abrir facsímil</v>
      </c>
      <c r="K2403" s="3" t="s">
        <v>67</v>
      </c>
    </row>
    <row r="2404" spans="1:11" ht="42" customHeight="1">
      <c r="A2404" s="2" t="s">
        <v>5873</v>
      </c>
      <c r="B2404" s="2" t="s">
        <v>5874</v>
      </c>
      <c r="C2404" s="2" t="s">
        <v>63</v>
      </c>
      <c r="D2404" s="2" t="s">
        <v>43</v>
      </c>
      <c r="E2404" s="5">
        <v>-29239</v>
      </c>
      <c r="F2404" s="3" t="s">
        <v>724</v>
      </c>
      <c r="G2404" s="3" t="s">
        <v>5875</v>
      </c>
      <c r="H2404" s="2" t="s">
        <v>65</v>
      </c>
      <c r="I2404" s="2" t="s">
        <v>5876</v>
      </c>
      <c r="J2404" s="3" t="str">
        <f>HYPERLINK("https://www.boe.es/gazeta/dias/1819/12/11/pdfs/GMD-1819-152.pdf#page=5","Abrir facsímil")</f>
        <v>Abrir facsímil</v>
      </c>
      <c r="K2404" s="3" t="s">
        <v>67</v>
      </c>
    </row>
    <row r="2405" spans="1:11" ht="42" customHeight="1">
      <c r="A2405" s="2" t="s">
        <v>5877</v>
      </c>
      <c r="B2405" s="2" t="s">
        <v>5878</v>
      </c>
      <c r="C2405" s="2" t="s">
        <v>80</v>
      </c>
      <c r="D2405" s="2" t="s">
        <v>81</v>
      </c>
      <c r="E2405" s="5">
        <v>-29446</v>
      </c>
      <c r="F2405" s="3" t="s">
        <v>773</v>
      </c>
      <c r="G2405" s="3" t="s">
        <v>774</v>
      </c>
      <c r="H2405" s="2" t="s">
        <v>65</v>
      </c>
      <c r="I2405" s="2" t="s">
        <v>5879</v>
      </c>
      <c r="J2405" s="3" t="str">
        <f>HYPERLINK("https://www.boe.es/gazeta/dias/1819/05/18/pdfs/GMD-1819-59.pdf#page=6","Abrir facsímil")</f>
        <v>Abrir facsímil</v>
      </c>
      <c r="K2405" s="3" t="s">
        <v>67</v>
      </c>
    </row>
    <row r="2406" spans="1:11" ht="42" customHeight="1">
      <c r="A2406" s="2" t="s">
        <v>5880</v>
      </c>
      <c r="B2406" s="2" t="s">
        <v>5881</v>
      </c>
      <c r="C2406" s="2" t="s">
        <v>80</v>
      </c>
      <c r="D2406" s="2" t="s">
        <v>81</v>
      </c>
      <c r="E2406" s="5">
        <v>-29582</v>
      </c>
      <c r="F2406" s="3" t="s">
        <v>376</v>
      </c>
      <c r="G2406" s="3" t="s">
        <v>702</v>
      </c>
      <c r="H2406" s="2" t="s">
        <v>65</v>
      </c>
      <c r="I2406" s="2" t="s">
        <v>5882</v>
      </c>
      <c r="J2406" s="3" t="str">
        <f>HYPERLINK("https://www.boe.es/gazeta/dias/1819/01/02/pdfs/GMD-1819-1.pdf#page=7","Abrir facsímil")</f>
        <v>Abrir facsímil</v>
      </c>
      <c r="K2406" s="3" t="s">
        <v>67</v>
      </c>
    </row>
    <row r="2407" spans="1:11" ht="42" customHeight="1">
      <c r="A2407" s="2" t="s">
        <v>5883</v>
      </c>
      <c r="B2407" s="2" t="s">
        <v>5884</v>
      </c>
      <c r="C2407" s="2" t="s">
        <v>80</v>
      </c>
      <c r="D2407" s="2" t="s">
        <v>81</v>
      </c>
      <c r="E2407" s="5">
        <v>-29393</v>
      </c>
      <c r="F2407" s="3" t="s">
        <v>536</v>
      </c>
      <c r="G2407" s="3" t="s">
        <v>38</v>
      </c>
      <c r="H2407" s="2" t="s">
        <v>65</v>
      </c>
      <c r="I2407" s="2" t="s">
        <v>5885</v>
      </c>
      <c r="J2407" s="3" t="str">
        <f>HYPERLINK("https://www.boe.es/gazeta/dias/1819/07/10/pdfs/GMD-1819-83.pdf#page=5","Abrir facsímil")</f>
        <v>Abrir facsímil</v>
      </c>
      <c r="K2407" s="3" t="s">
        <v>67</v>
      </c>
    </row>
    <row r="2408" spans="1:11" ht="42" customHeight="1">
      <c r="A2408" s="2" t="s">
        <v>5886</v>
      </c>
      <c r="B2408" s="2" t="s">
        <v>5887</v>
      </c>
      <c r="C2408" s="2" t="s">
        <v>59</v>
      </c>
      <c r="D2408" s="2" t="s">
        <v>18</v>
      </c>
      <c r="E2408" s="5">
        <v>-29425</v>
      </c>
      <c r="F2408" s="3" t="s">
        <v>110</v>
      </c>
      <c r="G2408" s="3" t="s">
        <v>55</v>
      </c>
      <c r="H2408" s="2" t="s">
        <v>65</v>
      </c>
      <c r="I2408" s="2" t="s">
        <v>5888</v>
      </c>
      <c r="J2408" s="3" t="str">
        <f>HYPERLINK("https://www.boe.es/gazeta/dias/1819/06/08/pdfs/GMD-1819-68.pdf#page=7","Abrir facsímil")</f>
        <v>Abrir facsímil</v>
      </c>
      <c r="K2408" s="3" t="s">
        <v>67</v>
      </c>
    </row>
    <row r="2409" spans="1:11" ht="42" customHeight="1">
      <c r="A2409" s="2" t="s">
        <v>5889</v>
      </c>
      <c r="B2409" s="2" t="s">
        <v>5890</v>
      </c>
      <c r="C2409" s="2" t="s">
        <v>26</v>
      </c>
      <c r="D2409" s="2" t="s">
        <v>18</v>
      </c>
      <c r="E2409" s="5">
        <v>-29313</v>
      </c>
      <c r="F2409" s="3" t="s">
        <v>129</v>
      </c>
      <c r="G2409" s="3" t="s">
        <v>28</v>
      </c>
      <c r="H2409" s="2" t="s">
        <v>21</v>
      </c>
      <c r="I2409" s="2" t="s">
        <v>5891</v>
      </c>
      <c r="J2409" s="3" t="str">
        <f>HYPERLINK("https://www.boe.es/gazeta/dias/1819/09/28/pdfs/GMD-1819-119.pdf#page=8","Abrir facsímil")</f>
        <v>Abrir facsímil</v>
      </c>
      <c r="K2409" s="3" t="s">
        <v>23</v>
      </c>
    </row>
    <row r="2410" spans="1:11" ht="42" customHeight="1">
      <c r="A2410" s="2" t="s">
        <v>5892</v>
      </c>
      <c r="B2410" s="2" t="s">
        <v>5892</v>
      </c>
      <c r="C2410" s="2" t="s">
        <v>63</v>
      </c>
      <c r="D2410" s="2" t="s">
        <v>43</v>
      </c>
      <c r="E2410" s="5">
        <v>-29423</v>
      </c>
      <c r="F2410" s="3" t="s">
        <v>1205</v>
      </c>
      <c r="G2410" s="3" t="s">
        <v>28</v>
      </c>
      <c r="H2410" s="2" t="s">
        <v>65</v>
      </c>
      <c r="I2410" s="2" t="s">
        <v>5893</v>
      </c>
      <c r="J2410" s="3" t="str">
        <f>HYPERLINK("https://www.boe.es/gazeta/dias/1819/06/10/pdfs/GMD-1819-69.pdf#page=8","Abrir facsímil")</f>
        <v>Abrir facsímil</v>
      </c>
      <c r="K2410" s="3" t="s">
        <v>67</v>
      </c>
    </row>
    <row r="2411" spans="1:11" ht="42" customHeight="1">
      <c r="A2411" s="2" t="s">
        <v>5894</v>
      </c>
      <c r="B2411" s="2" t="s">
        <v>5894</v>
      </c>
      <c r="C2411" s="2" t="s">
        <v>59</v>
      </c>
      <c r="D2411" s="2" t="s">
        <v>18</v>
      </c>
      <c r="E2411" s="5">
        <v>-29379</v>
      </c>
      <c r="F2411" s="3" t="s">
        <v>161</v>
      </c>
      <c r="G2411" s="3" t="s">
        <v>162</v>
      </c>
      <c r="H2411" s="2" t="s">
        <v>65</v>
      </c>
      <c r="I2411" s="2" t="s">
        <v>5895</v>
      </c>
      <c r="J2411" s="3" t="str">
        <f>HYPERLINK("https://www.boe.es/gazeta/dias/1819/07/24/pdfs/GMD-1819-89.pdf#page=5","Abrir facsímil")</f>
        <v>Abrir facsímil</v>
      </c>
      <c r="K2411" s="3" t="s">
        <v>67</v>
      </c>
    </row>
    <row r="2412" spans="1:11" ht="42" customHeight="1">
      <c r="A2412" s="2" t="s">
        <v>5894</v>
      </c>
      <c r="B2412" s="2" t="s">
        <v>5894</v>
      </c>
      <c r="C2412" s="2" t="s">
        <v>63</v>
      </c>
      <c r="D2412" s="2" t="s">
        <v>43</v>
      </c>
      <c r="E2412" s="5">
        <v>-29285</v>
      </c>
      <c r="F2412" s="3" t="s">
        <v>578</v>
      </c>
      <c r="G2412" s="3" t="s">
        <v>55</v>
      </c>
      <c r="H2412" s="2" t="s">
        <v>65</v>
      </c>
      <c r="I2412" s="2" t="s">
        <v>5896</v>
      </c>
      <c r="J2412" s="3" t="str">
        <f>HYPERLINK("https://www.boe.es/gazeta/dias/1819/10/26/pdfs/GMD-1819-132.pdf#page=7","Abrir facsímil")</f>
        <v>Abrir facsímil</v>
      </c>
      <c r="K2412" s="3" t="s">
        <v>67</v>
      </c>
    </row>
    <row r="2413" spans="1:11" ht="42" customHeight="1">
      <c r="A2413" s="2" t="s">
        <v>5894</v>
      </c>
      <c r="B2413" s="2" t="s">
        <v>5894</v>
      </c>
      <c r="C2413" s="2" t="s">
        <v>63</v>
      </c>
      <c r="D2413" s="2" t="s">
        <v>43</v>
      </c>
      <c r="E2413" s="5">
        <v>-29271</v>
      </c>
      <c r="F2413" s="3" t="s">
        <v>32</v>
      </c>
      <c r="G2413" s="3" t="s">
        <v>55</v>
      </c>
      <c r="H2413" s="2" t="s">
        <v>65</v>
      </c>
      <c r="I2413" s="2" t="s">
        <v>5897</v>
      </c>
      <c r="J2413" s="3" t="str">
        <f>HYPERLINK("https://www.boe.es/gazeta/dias/1819/11/09/pdfs/GMD-1819-138.pdf#page=7","Abrir facsímil")</f>
        <v>Abrir facsímil</v>
      </c>
      <c r="K2413" s="3" t="s">
        <v>67</v>
      </c>
    </row>
    <row r="2414" spans="1:11" ht="42" customHeight="1">
      <c r="A2414" s="2" t="s">
        <v>5898</v>
      </c>
      <c r="B2414" s="2" t="s">
        <v>5899</v>
      </c>
      <c r="C2414" s="2" t="s">
        <v>17</v>
      </c>
      <c r="D2414" s="2" t="s">
        <v>18</v>
      </c>
      <c r="E2414" s="5">
        <v>-29316</v>
      </c>
      <c r="F2414" s="3" t="s">
        <v>166</v>
      </c>
      <c r="G2414" s="3" t="s">
        <v>55</v>
      </c>
      <c r="H2414" s="2" t="s">
        <v>21</v>
      </c>
      <c r="I2414" s="2" t="s">
        <v>5900</v>
      </c>
      <c r="J2414" s="3" t="str">
        <f>HYPERLINK("https://www.boe.es/gazeta/dias/1819/09/25/pdfs/GMD-1819-118.pdf#page=7","Abrir facsímil")</f>
        <v>Abrir facsímil</v>
      </c>
      <c r="K2414" s="3" t="s">
        <v>23</v>
      </c>
    </row>
    <row r="2415" spans="1:11" ht="42" customHeight="1">
      <c r="A2415" s="2" t="s">
        <v>5901</v>
      </c>
      <c r="B2415" s="2" t="s">
        <v>5902</v>
      </c>
      <c r="C2415" s="2" t="s">
        <v>26</v>
      </c>
      <c r="D2415" s="2" t="s">
        <v>18</v>
      </c>
      <c r="E2415" s="5">
        <v>-29542</v>
      </c>
      <c r="F2415" s="3" t="s">
        <v>607</v>
      </c>
      <c r="G2415" s="3" t="s">
        <v>138</v>
      </c>
      <c r="H2415" s="2" t="s">
        <v>65</v>
      </c>
      <c r="I2415" s="2" t="s">
        <v>5903</v>
      </c>
      <c r="J2415" s="3" t="str">
        <f>HYPERLINK("https://www.boe.es/gazeta/dias/1819/02/11/pdfs/GMD-1819-18.pdf#page=12","Abrir facsímil")</f>
        <v>Abrir facsímil</v>
      </c>
      <c r="K2415" s="3" t="s">
        <v>67</v>
      </c>
    </row>
    <row r="2416" spans="1:11" ht="42" customHeight="1">
      <c r="A2416" s="2" t="s">
        <v>5904</v>
      </c>
      <c r="B2416" s="2" t="s">
        <v>5905</v>
      </c>
      <c r="C2416" s="2" t="s">
        <v>80</v>
      </c>
      <c r="D2416" s="2" t="s">
        <v>81</v>
      </c>
      <c r="E2416" s="5">
        <v>-29582</v>
      </c>
      <c r="F2416" s="3" t="s">
        <v>376</v>
      </c>
      <c r="G2416" s="3" t="s">
        <v>544</v>
      </c>
      <c r="H2416" s="2" t="s">
        <v>65</v>
      </c>
      <c r="I2416" s="2" t="s">
        <v>5906</v>
      </c>
      <c r="J2416" s="3" t="str">
        <f>HYPERLINK("https://www.boe.es/gazeta/dias/1819/01/02/pdfs/GMD-1819-1.pdf#page=6","Abrir facsímil")</f>
        <v>Abrir facsímil</v>
      </c>
      <c r="K2416" s="3" t="s">
        <v>67</v>
      </c>
    </row>
    <row r="2417" spans="1:11" ht="42" customHeight="1">
      <c r="A2417" s="2" t="s">
        <v>5904</v>
      </c>
      <c r="B2417" s="2" t="s">
        <v>5905</v>
      </c>
      <c r="C2417" s="2" t="s">
        <v>80</v>
      </c>
      <c r="D2417" s="2" t="s">
        <v>81</v>
      </c>
      <c r="E2417" s="5">
        <v>-29530</v>
      </c>
      <c r="F2417" s="3" t="s">
        <v>202</v>
      </c>
      <c r="G2417" s="3" t="s">
        <v>38</v>
      </c>
      <c r="H2417" s="2" t="s">
        <v>65</v>
      </c>
      <c r="I2417" s="2" t="s">
        <v>5907</v>
      </c>
      <c r="J2417" s="3" t="str">
        <f>HYPERLINK("https://www.boe.es/gazeta/dias/1819/02/23/pdfs/GMD-1819-23.pdf#page=5","Abrir facsímil")</f>
        <v>Abrir facsímil</v>
      </c>
      <c r="K2417" s="3" t="s">
        <v>67</v>
      </c>
    </row>
    <row r="2418" spans="1:11" ht="42" customHeight="1">
      <c r="A2418" s="2" t="s">
        <v>5908</v>
      </c>
      <c r="B2418" s="2" t="s">
        <v>5909</v>
      </c>
      <c r="C2418" s="2" t="s">
        <v>80</v>
      </c>
      <c r="D2418" s="2" t="s">
        <v>81</v>
      </c>
      <c r="E2418" s="5">
        <v>-29227</v>
      </c>
      <c r="F2418" s="3" t="s">
        <v>98</v>
      </c>
      <c r="G2418" s="3" t="s">
        <v>38</v>
      </c>
      <c r="H2418" s="2" t="s">
        <v>65</v>
      </c>
      <c r="I2418" s="2" t="s">
        <v>5910</v>
      </c>
      <c r="J2418" s="3" t="str">
        <f>HYPERLINK("https://www.boe.es/gazeta/dias/1819/12/23/pdfs/GMD-1819-157.pdf#page=5","Abrir facsímil")</f>
        <v>Abrir facsímil</v>
      </c>
      <c r="K2418" s="3" t="s">
        <v>67</v>
      </c>
    </row>
    <row r="2419" spans="1:11" ht="42" customHeight="1">
      <c r="A2419" s="2" t="s">
        <v>5911</v>
      </c>
      <c r="B2419" s="2" t="s">
        <v>5911</v>
      </c>
      <c r="C2419" s="2" t="s">
        <v>63</v>
      </c>
      <c r="D2419" s="2" t="s">
        <v>43</v>
      </c>
      <c r="E2419" s="5">
        <v>-29323</v>
      </c>
      <c r="F2419" s="3" t="s">
        <v>270</v>
      </c>
      <c r="G2419" s="3" t="s">
        <v>55</v>
      </c>
      <c r="H2419" s="2" t="s">
        <v>65</v>
      </c>
      <c r="I2419" s="2" t="s">
        <v>5912</v>
      </c>
      <c r="J2419" s="3" t="str">
        <f>HYPERLINK("https://www.boe.es/gazeta/dias/1819/09/18/pdfs/GMD-1819-115.pdf#page=7","Abrir facsímil")</f>
        <v>Abrir facsímil</v>
      </c>
      <c r="K2419" s="3" t="s">
        <v>67</v>
      </c>
    </row>
    <row r="2420" spans="1:11" ht="42" customHeight="1">
      <c r="A2420" s="2" t="s">
        <v>5913</v>
      </c>
      <c r="B2420" s="2" t="s">
        <v>5914</v>
      </c>
      <c r="C2420" s="2" t="s">
        <v>59</v>
      </c>
      <c r="D2420" s="2" t="s">
        <v>18</v>
      </c>
      <c r="E2420" s="5">
        <v>-29355</v>
      </c>
      <c r="F2420" s="3" t="s">
        <v>347</v>
      </c>
      <c r="G2420" s="3" t="s">
        <v>348</v>
      </c>
      <c r="H2420" s="2" t="s">
        <v>65</v>
      </c>
      <c r="I2420" s="2" t="s">
        <v>5915</v>
      </c>
      <c r="J2420" s="3" t="str">
        <f>HYPERLINK("https://www.boe.es/gazeta/dias/1819/08/17/pdfs/GMD-1819-99.pdf#page=6","Abrir facsímil")</f>
        <v>Abrir facsímil</v>
      </c>
      <c r="K2420" s="3" t="s">
        <v>67</v>
      </c>
    </row>
    <row r="2421" spans="1:11" ht="42" customHeight="1">
      <c r="A2421" s="2" t="s">
        <v>5916</v>
      </c>
      <c r="B2421" s="2" t="s">
        <v>5917</v>
      </c>
      <c r="C2421" s="2" t="s">
        <v>63</v>
      </c>
      <c r="D2421" s="2" t="s">
        <v>43</v>
      </c>
      <c r="E2421" s="5">
        <v>-29458</v>
      </c>
      <c r="F2421" s="3" t="s">
        <v>766</v>
      </c>
      <c r="G2421" s="3" t="s">
        <v>33</v>
      </c>
      <c r="H2421" s="2" t="s">
        <v>65</v>
      </c>
      <c r="I2421" s="2" t="s">
        <v>5918</v>
      </c>
      <c r="J2421" s="3" t="str">
        <f>HYPERLINK("https://www.boe.es/gazeta/dias/1819/05/06/pdfs/GMD-1819-54.pdf#page=6","Abrir facsímil")</f>
        <v>Abrir facsímil</v>
      </c>
      <c r="K2421" s="3" t="s">
        <v>67</v>
      </c>
    </row>
    <row r="2422" spans="1:11" ht="42" customHeight="1">
      <c r="A2422" s="2" t="s">
        <v>5919</v>
      </c>
      <c r="B2422" s="2" t="s">
        <v>5920</v>
      </c>
      <c r="C2422" s="2" t="s">
        <v>80</v>
      </c>
      <c r="D2422" s="2" t="s">
        <v>81</v>
      </c>
      <c r="E2422" s="5">
        <v>-29544</v>
      </c>
      <c r="F2422" s="3" t="s">
        <v>531</v>
      </c>
      <c r="G2422" s="3" t="s">
        <v>296</v>
      </c>
      <c r="H2422" s="2" t="s">
        <v>65</v>
      </c>
      <c r="I2422" s="2" t="s">
        <v>5921</v>
      </c>
      <c r="J2422" s="3" t="str">
        <f>HYPERLINK("https://www.boe.es/gazeta/dias/1819/02/09/pdfs/GMD-1819-17.pdf#page=4","Abrir facsímil")</f>
        <v>Abrir facsímil</v>
      </c>
      <c r="K2422" s="3" t="s">
        <v>67</v>
      </c>
    </row>
    <row r="2423" spans="1:11" ht="42" customHeight="1">
      <c r="A2423" s="2" t="s">
        <v>5922</v>
      </c>
      <c r="B2423" s="2" t="s">
        <v>5923</v>
      </c>
      <c r="C2423" s="2" t="s">
        <v>59</v>
      </c>
      <c r="D2423" s="2" t="s">
        <v>18</v>
      </c>
      <c r="E2423" s="5">
        <v>-29355</v>
      </c>
      <c r="F2423" s="3" t="s">
        <v>347</v>
      </c>
      <c r="G2423" s="3" t="s">
        <v>348</v>
      </c>
      <c r="H2423" s="2" t="s">
        <v>65</v>
      </c>
      <c r="I2423" s="2" t="s">
        <v>5924</v>
      </c>
      <c r="J2423" s="3" t="str">
        <f>HYPERLINK("https://www.boe.es/gazeta/dias/1819/08/17/pdfs/GMD-1819-99.pdf#page=6","Abrir facsímil")</f>
        <v>Abrir facsímil</v>
      </c>
      <c r="K2423" s="3" t="s">
        <v>67</v>
      </c>
    </row>
    <row r="2424" spans="1:11" ht="42" customHeight="1">
      <c r="A2424" s="2" t="s">
        <v>5925</v>
      </c>
      <c r="B2424" s="2" t="s">
        <v>5926</v>
      </c>
      <c r="C2424" s="2" t="s">
        <v>246</v>
      </c>
      <c r="D2424" s="2" t="s">
        <v>18</v>
      </c>
      <c r="E2424" s="5">
        <v>-29423</v>
      </c>
      <c r="F2424" s="3" t="s">
        <v>1205</v>
      </c>
      <c r="G2424" s="3" t="s">
        <v>2915</v>
      </c>
      <c r="H2424" s="2" t="s">
        <v>65</v>
      </c>
      <c r="I2424" s="2" t="s">
        <v>5927</v>
      </c>
      <c r="J2424" s="3" t="str">
        <f>HYPERLINK("https://www.boe.es/gazeta/dias/1819/06/10/pdfs/GMD-1819-69.pdf#page=6","Abrir facsímil")</f>
        <v>Abrir facsímil</v>
      </c>
      <c r="K2424" s="3" t="s">
        <v>67</v>
      </c>
    </row>
    <row r="2425" spans="1:11" ht="42" customHeight="1">
      <c r="A2425" s="2" t="s">
        <v>5928</v>
      </c>
      <c r="B2425" s="2" t="s">
        <v>5929</v>
      </c>
      <c r="C2425" s="2" t="s">
        <v>26</v>
      </c>
      <c r="D2425" s="2" t="s">
        <v>18</v>
      </c>
      <c r="E2425" s="5">
        <v>-29332</v>
      </c>
      <c r="F2425" s="3" t="s">
        <v>499</v>
      </c>
      <c r="G2425" s="3" t="s">
        <v>38</v>
      </c>
      <c r="H2425" s="2" t="s">
        <v>65</v>
      </c>
      <c r="I2425" s="2" t="s">
        <v>5930</v>
      </c>
      <c r="J2425" s="3" t="str">
        <f>HYPERLINK("https://www.boe.es/gazeta/dias/1819/09/09/pdfs/GMD-1819-110.pdf#page=5","Abrir facsímil")</f>
        <v>Abrir facsímil</v>
      </c>
      <c r="K2425" s="3" t="s">
        <v>67</v>
      </c>
    </row>
    <row r="2426" spans="1:11" ht="42" customHeight="1">
      <c r="A2426" s="2" t="s">
        <v>5931</v>
      </c>
      <c r="B2426" s="2" t="s">
        <v>5932</v>
      </c>
      <c r="C2426" s="2" t="s">
        <v>80</v>
      </c>
      <c r="D2426" s="2" t="s">
        <v>81</v>
      </c>
      <c r="E2426" s="5">
        <v>-29442</v>
      </c>
      <c r="F2426" s="3" t="s">
        <v>427</v>
      </c>
      <c r="G2426" s="3" t="s">
        <v>38</v>
      </c>
      <c r="H2426" s="2" t="s">
        <v>65</v>
      </c>
      <c r="I2426" s="2" t="s">
        <v>5933</v>
      </c>
      <c r="J2426" s="3" t="str">
        <f>HYPERLINK("https://www.boe.es/gazeta/dias/1819/05/22/pdfs/GMD-1819-61.pdf#page=5","Abrir facsímil")</f>
        <v>Abrir facsímil</v>
      </c>
      <c r="K2426" s="3" t="s">
        <v>67</v>
      </c>
    </row>
    <row r="2427" spans="1:11" ht="42" customHeight="1">
      <c r="A2427" s="2" t="s">
        <v>5931</v>
      </c>
      <c r="B2427" s="2" t="s">
        <v>5932</v>
      </c>
      <c r="C2427" s="2" t="s">
        <v>80</v>
      </c>
      <c r="D2427" s="2" t="s">
        <v>454</v>
      </c>
      <c r="E2427" s="5">
        <v>-29287</v>
      </c>
      <c r="F2427" s="3" t="s">
        <v>455</v>
      </c>
      <c r="G2427" s="3" t="s">
        <v>456</v>
      </c>
      <c r="H2427" s="2" t="s">
        <v>65</v>
      </c>
      <c r="I2427" s="2" t="s">
        <v>5934</v>
      </c>
      <c r="J2427" s="3" t="str">
        <f>HYPERLINK("https://www.boe.es/gazeta/dias/1819/10/24/pdfs/GMD-1819-131E.pdf#page=9","Abrir facsímil")</f>
        <v>Abrir facsímil</v>
      </c>
      <c r="K2427" s="3" t="s">
        <v>67</v>
      </c>
    </row>
    <row r="2428" spans="1:11" ht="42" customHeight="1">
      <c r="A2428" s="2" t="s">
        <v>5931</v>
      </c>
      <c r="B2428" s="2" t="s">
        <v>5932</v>
      </c>
      <c r="C2428" s="2" t="s">
        <v>80</v>
      </c>
      <c r="D2428" s="2" t="s">
        <v>81</v>
      </c>
      <c r="E2428" s="5">
        <v>-29285</v>
      </c>
      <c r="F2428" s="3" t="s">
        <v>578</v>
      </c>
      <c r="G2428" s="3" t="s">
        <v>33</v>
      </c>
      <c r="H2428" s="2" t="s">
        <v>65</v>
      </c>
      <c r="I2428" s="2" t="s">
        <v>5935</v>
      </c>
      <c r="J2428" s="3" t="str">
        <f>HYPERLINK("https://www.boe.es/gazeta/dias/1819/10/26/pdfs/GMD-1819-132.pdf#page=6","Abrir facsímil")</f>
        <v>Abrir facsímil</v>
      </c>
      <c r="K2428" s="3" t="s">
        <v>67</v>
      </c>
    </row>
    <row r="2429" spans="1:11" ht="42" customHeight="1">
      <c r="A2429" s="2" t="s">
        <v>5931</v>
      </c>
      <c r="B2429" s="2" t="s">
        <v>5932</v>
      </c>
      <c r="C2429" s="2" t="s">
        <v>26</v>
      </c>
      <c r="D2429" s="2" t="s">
        <v>18</v>
      </c>
      <c r="E2429" s="5">
        <v>-29234</v>
      </c>
      <c r="F2429" s="3" t="s">
        <v>343</v>
      </c>
      <c r="G2429" s="3" t="s">
        <v>55</v>
      </c>
      <c r="H2429" s="2" t="s">
        <v>65</v>
      </c>
      <c r="I2429" s="2" t="s">
        <v>5936</v>
      </c>
      <c r="J2429" s="3" t="str">
        <f>HYPERLINK("https://www.boe.es/gazeta/dias/1819/12/16/pdfs/GMD-1819-154.pdf#page=7","Abrir facsímil")</f>
        <v>Abrir facsímil</v>
      </c>
      <c r="K2429" s="3" t="s">
        <v>67</v>
      </c>
    </row>
    <row r="2430" spans="1:11" ht="42" customHeight="1">
      <c r="A2430" s="2" t="s">
        <v>5937</v>
      </c>
      <c r="B2430" s="2" t="s">
        <v>5938</v>
      </c>
      <c r="C2430" s="2" t="s">
        <v>80</v>
      </c>
      <c r="D2430" s="2" t="s">
        <v>81</v>
      </c>
      <c r="E2430" s="5">
        <v>-29309</v>
      </c>
      <c r="F2430" s="3" t="s">
        <v>476</v>
      </c>
      <c r="G2430" s="3" t="s">
        <v>296</v>
      </c>
      <c r="H2430" s="2" t="s">
        <v>65</v>
      </c>
      <c r="I2430" s="2" t="s">
        <v>5939</v>
      </c>
      <c r="J2430" s="3" t="str">
        <f>HYPERLINK("https://www.boe.es/gazeta/dias/1819/10/02/pdfs/GMD-1819-121.pdf#page=4","Abrir facsímil")</f>
        <v>Abrir facsímil</v>
      </c>
      <c r="K2430" s="3" t="s">
        <v>67</v>
      </c>
    </row>
    <row r="2431" spans="1:11" ht="42" customHeight="1">
      <c r="A2431" s="2" t="s">
        <v>5940</v>
      </c>
      <c r="B2431" s="2" t="s">
        <v>5941</v>
      </c>
      <c r="C2431" s="2" t="s">
        <v>80</v>
      </c>
      <c r="D2431" s="2" t="s">
        <v>81</v>
      </c>
      <c r="E2431" s="5">
        <v>-29442</v>
      </c>
      <c r="F2431" s="3" t="s">
        <v>427</v>
      </c>
      <c r="G2431" s="3" t="s">
        <v>38</v>
      </c>
      <c r="H2431" s="2" t="s">
        <v>65</v>
      </c>
      <c r="I2431" s="2" t="s">
        <v>5942</v>
      </c>
      <c r="J2431" s="3" t="str">
        <f>HYPERLINK("https://www.boe.es/gazeta/dias/1819/05/22/pdfs/GMD-1819-61.pdf#page=5","Abrir facsímil")</f>
        <v>Abrir facsímil</v>
      </c>
      <c r="K2431" s="3" t="s">
        <v>67</v>
      </c>
    </row>
    <row r="2432" spans="1:11" ht="42" customHeight="1">
      <c r="A2432" s="2" t="s">
        <v>5940</v>
      </c>
      <c r="B2432" s="2" t="s">
        <v>5941</v>
      </c>
      <c r="C2432" s="2" t="s">
        <v>80</v>
      </c>
      <c r="D2432" s="2" t="s">
        <v>81</v>
      </c>
      <c r="E2432" s="5">
        <v>-29442</v>
      </c>
      <c r="F2432" s="3" t="s">
        <v>427</v>
      </c>
      <c r="G2432" s="3" t="s">
        <v>33</v>
      </c>
      <c r="H2432" s="2" t="s">
        <v>65</v>
      </c>
      <c r="I2432" s="2" t="s">
        <v>5943</v>
      </c>
      <c r="J2432" s="3" t="str">
        <f>HYPERLINK("https://www.boe.es/gazeta/dias/1819/05/22/pdfs/GMD-1819-61.pdf#page=6","Abrir facsímil")</f>
        <v>Abrir facsímil</v>
      </c>
      <c r="K2432" s="3" t="s">
        <v>67</v>
      </c>
    </row>
    <row r="2433" spans="1:11" ht="42" customHeight="1">
      <c r="A2433" s="2" t="s">
        <v>5944</v>
      </c>
      <c r="B2433" s="2" t="s">
        <v>5945</v>
      </c>
      <c r="C2433" s="2" t="s">
        <v>63</v>
      </c>
      <c r="D2433" s="2" t="s">
        <v>43</v>
      </c>
      <c r="E2433" s="5">
        <v>-29281</v>
      </c>
      <c r="F2433" s="3" t="s">
        <v>19</v>
      </c>
      <c r="G2433" s="3" t="s">
        <v>20</v>
      </c>
      <c r="H2433" s="2" t="s">
        <v>65</v>
      </c>
      <c r="I2433" s="2" t="s">
        <v>5946</v>
      </c>
      <c r="J2433" s="3" t="str">
        <f>HYPERLINK("https://www.boe.es/gazeta/dias/1819/10/30/pdfs/GMD-1819-134.pdf#page=10","Abrir facsímil")</f>
        <v>Abrir facsímil</v>
      </c>
      <c r="K2433" s="3" t="s">
        <v>67</v>
      </c>
    </row>
    <row r="2434" spans="1:11" ht="42" customHeight="1">
      <c r="A2434" s="2" t="s">
        <v>5947</v>
      </c>
      <c r="B2434" s="2" t="s">
        <v>5948</v>
      </c>
      <c r="C2434" s="2" t="s">
        <v>136</v>
      </c>
      <c r="D2434" s="2" t="s">
        <v>18</v>
      </c>
      <c r="E2434" s="5">
        <v>-29397</v>
      </c>
      <c r="F2434" s="3" t="s">
        <v>599</v>
      </c>
      <c r="G2434" s="3" t="s">
        <v>28</v>
      </c>
      <c r="H2434" s="2" t="s">
        <v>65</v>
      </c>
      <c r="I2434" s="2" t="s">
        <v>5949</v>
      </c>
      <c r="J2434" s="3" t="str">
        <f>HYPERLINK("https://www.boe.es/gazeta/dias/1819/07/06/pdfs/GMD-1819-81.pdf#page=8","Abrir facsímil")</f>
        <v>Abrir facsímil</v>
      </c>
      <c r="K2434" s="3" t="s">
        <v>67</v>
      </c>
    </row>
    <row r="2435" spans="1:11" ht="42" customHeight="1">
      <c r="A2435" s="2" t="s">
        <v>5950</v>
      </c>
      <c r="B2435" s="2" t="s">
        <v>5951</v>
      </c>
      <c r="C2435" s="2" t="s">
        <v>80</v>
      </c>
      <c r="D2435" s="2" t="s">
        <v>81</v>
      </c>
      <c r="E2435" s="5">
        <v>-29369</v>
      </c>
      <c r="F2435" s="3" t="s">
        <v>231</v>
      </c>
      <c r="G2435" s="3" t="s">
        <v>232</v>
      </c>
      <c r="H2435" s="2" t="s">
        <v>65</v>
      </c>
      <c r="I2435" s="2" t="s">
        <v>5952</v>
      </c>
      <c r="J2435" s="3" t="str">
        <f>HYPERLINK("https://www.boe.es/gazeta/dias/1819/08/03/pdfs/GMD-1819-93.pdf#page=5","Abrir facsímil")</f>
        <v>Abrir facsímil</v>
      </c>
      <c r="K2435" s="3" t="s">
        <v>67</v>
      </c>
    </row>
    <row r="2436" spans="1:11" ht="42" customHeight="1">
      <c r="A2436" s="2" t="s">
        <v>5953</v>
      </c>
      <c r="B2436" s="2" t="s">
        <v>5954</v>
      </c>
      <c r="C2436" s="2" t="s">
        <v>136</v>
      </c>
      <c r="D2436" s="2" t="s">
        <v>18</v>
      </c>
      <c r="E2436" s="5">
        <v>-29372</v>
      </c>
      <c r="F2436" s="3" t="s">
        <v>715</v>
      </c>
      <c r="G2436" s="3" t="s">
        <v>28</v>
      </c>
      <c r="H2436" s="2" t="s">
        <v>65</v>
      </c>
      <c r="I2436" s="2" t="s">
        <v>5955</v>
      </c>
      <c r="J2436" s="3" t="str">
        <f>HYPERLINK("https://www.boe.es/gazeta/dias/1819/07/31/pdfs/GMD-1819-92.pdf#page=8","Abrir facsímil")</f>
        <v>Abrir facsímil</v>
      </c>
      <c r="K2436" s="3" t="s">
        <v>67</v>
      </c>
    </row>
    <row r="2437" spans="1:11" ht="42" customHeight="1">
      <c r="A2437" s="2" t="s">
        <v>5956</v>
      </c>
      <c r="B2437" s="2" t="s">
        <v>5957</v>
      </c>
      <c r="C2437" s="2" t="s">
        <v>80</v>
      </c>
      <c r="D2437" s="2" t="s">
        <v>454</v>
      </c>
      <c r="E2437" s="5">
        <v>-29287</v>
      </c>
      <c r="F2437" s="3" t="s">
        <v>455</v>
      </c>
      <c r="G2437" s="3" t="s">
        <v>1113</v>
      </c>
      <c r="H2437" s="2" t="s">
        <v>65</v>
      </c>
      <c r="I2437" s="2" t="s">
        <v>5958</v>
      </c>
      <c r="J2437" s="3" t="str">
        <f>HYPERLINK("https://www.boe.es/gazeta/dias/1819/10/24/pdfs/GMD-1819-131E.pdf#page=7","Abrir facsímil")</f>
        <v>Abrir facsímil</v>
      </c>
      <c r="K2437" s="3" t="s">
        <v>67</v>
      </c>
    </row>
    <row r="2438" spans="1:11" ht="42" customHeight="1">
      <c r="A2438" s="2" t="s">
        <v>5956</v>
      </c>
      <c r="B2438" s="2" t="s">
        <v>5957</v>
      </c>
      <c r="C2438" s="2" t="s">
        <v>63</v>
      </c>
      <c r="D2438" s="2" t="s">
        <v>43</v>
      </c>
      <c r="E2438" s="5">
        <v>-29239</v>
      </c>
      <c r="F2438" s="3" t="s">
        <v>724</v>
      </c>
      <c r="G2438" s="3" t="s">
        <v>5959</v>
      </c>
      <c r="H2438" s="2" t="s">
        <v>65</v>
      </c>
      <c r="I2438" s="2" t="s">
        <v>5960</v>
      </c>
      <c r="J2438" s="3" t="str">
        <f>HYPERLINK("https://www.boe.es/gazeta/dias/1819/12/11/pdfs/GMD-1819-152.pdf#page=6","Abrir facsímil")</f>
        <v>Abrir facsímil</v>
      </c>
      <c r="K2438" s="3" t="s">
        <v>67</v>
      </c>
    </row>
    <row r="2439" spans="1:11" ht="42" customHeight="1">
      <c r="A2439" s="2" t="s">
        <v>5961</v>
      </c>
      <c r="B2439" s="2" t="s">
        <v>5962</v>
      </c>
      <c r="C2439" s="2" t="s">
        <v>136</v>
      </c>
      <c r="D2439" s="2" t="s">
        <v>18</v>
      </c>
      <c r="E2439" s="5">
        <v>-29379</v>
      </c>
      <c r="F2439" s="3" t="s">
        <v>161</v>
      </c>
      <c r="G2439" s="3" t="s">
        <v>162</v>
      </c>
      <c r="H2439" s="2" t="s">
        <v>65</v>
      </c>
      <c r="I2439" s="2" t="s">
        <v>5963</v>
      </c>
      <c r="J2439" s="3" t="str">
        <f>HYPERLINK("https://www.boe.es/gazeta/dias/1819/07/24/pdfs/GMD-1819-89.pdf#page=5","Abrir facsímil")</f>
        <v>Abrir facsímil</v>
      </c>
      <c r="K2439" s="3" t="s">
        <v>67</v>
      </c>
    </row>
    <row r="2440" spans="1:11" ht="42" customHeight="1">
      <c r="A2440" s="2" t="s">
        <v>5964</v>
      </c>
      <c r="B2440" s="2" t="s">
        <v>5965</v>
      </c>
      <c r="C2440" s="2" t="s">
        <v>63</v>
      </c>
      <c r="D2440" s="2" t="s">
        <v>43</v>
      </c>
      <c r="E2440" s="5">
        <v>-29416</v>
      </c>
      <c r="F2440" s="3" t="s">
        <v>251</v>
      </c>
      <c r="G2440" s="3" t="s">
        <v>55</v>
      </c>
      <c r="H2440" s="2" t="s">
        <v>65</v>
      </c>
      <c r="I2440" s="2" t="s">
        <v>5966</v>
      </c>
      <c r="J2440" s="3" t="str">
        <f>HYPERLINK("https://www.boe.es/gazeta/dias/1819/06/17/pdfs/GMD-1819-73.pdf#page=7","Abrir facsímil")</f>
        <v>Abrir facsímil</v>
      </c>
      <c r="K2440" s="3" t="s">
        <v>67</v>
      </c>
    </row>
    <row r="2441" spans="1:11" ht="42" customHeight="1">
      <c r="A2441" s="2" t="s">
        <v>5967</v>
      </c>
      <c r="B2441" s="2" t="s">
        <v>5968</v>
      </c>
      <c r="C2441" s="2" t="s">
        <v>26</v>
      </c>
      <c r="D2441" s="2" t="s">
        <v>18</v>
      </c>
      <c r="E2441" s="5">
        <v>-29222</v>
      </c>
      <c r="F2441" s="3" t="s">
        <v>338</v>
      </c>
      <c r="G2441" s="3" t="s">
        <v>339</v>
      </c>
      <c r="H2441" s="2" t="s">
        <v>65</v>
      </c>
      <c r="I2441" s="2" t="s">
        <v>5969</v>
      </c>
      <c r="J2441" s="3" t="str">
        <f>HYPERLINK("https://www.boe.es/gazeta/dias/1819/12/28/pdfs/GMD-1819-159.pdf#page=8","Abrir facsímil")</f>
        <v>Abrir facsímil</v>
      </c>
      <c r="K2441" s="3" t="s">
        <v>67</v>
      </c>
    </row>
    <row r="2442" spans="1:11" ht="42" customHeight="1">
      <c r="A2442" s="2" t="s">
        <v>5970</v>
      </c>
      <c r="B2442" s="2" t="s">
        <v>5971</v>
      </c>
      <c r="C2442" s="2" t="s">
        <v>59</v>
      </c>
      <c r="D2442" s="2" t="s">
        <v>18</v>
      </c>
      <c r="E2442" s="5">
        <v>-29348</v>
      </c>
      <c r="F2442" s="3" t="s">
        <v>227</v>
      </c>
      <c r="G2442" s="3" t="s">
        <v>5715</v>
      </c>
      <c r="H2442" s="2" t="s">
        <v>65</v>
      </c>
      <c r="I2442" s="2" t="s">
        <v>5972</v>
      </c>
      <c r="J2442" s="3" t="str">
        <f>HYPERLINK("https://www.boe.es/gazeta/dias/1819/08/24/pdfs/GMD-1819-102.pdf#page=6","Abrir facsímil")</f>
        <v>Abrir facsímil</v>
      </c>
      <c r="K2442" s="3" t="s">
        <v>67</v>
      </c>
    </row>
    <row r="2443" spans="1:11" ht="42" customHeight="1">
      <c r="A2443" s="2" t="s">
        <v>5973</v>
      </c>
      <c r="B2443" s="2" t="s">
        <v>5974</v>
      </c>
      <c r="C2443" s="2" t="s">
        <v>80</v>
      </c>
      <c r="D2443" s="2" t="s">
        <v>81</v>
      </c>
      <c r="E2443" s="5">
        <v>-29248</v>
      </c>
      <c r="F2443" s="3" t="s">
        <v>395</v>
      </c>
      <c r="G2443" s="3" t="s">
        <v>1179</v>
      </c>
      <c r="H2443" s="2" t="s">
        <v>65</v>
      </c>
      <c r="I2443" s="2" t="s">
        <v>5975</v>
      </c>
      <c r="J2443" s="3" t="str">
        <f>HYPERLINK("https://www.boe.es/gazeta/dias/1819/12/02/pdfs/GMD-1819-148.pdf#page=10","Abrir facsímil")</f>
        <v>Abrir facsímil</v>
      </c>
      <c r="K2443" s="3" t="s">
        <v>67</v>
      </c>
    </row>
    <row r="2444" spans="1:11" ht="42" customHeight="1">
      <c r="A2444" s="2" t="s">
        <v>5976</v>
      </c>
      <c r="B2444" s="2" t="s">
        <v>5977</v>
      </c>
      <c r="C2444" s="2" t="s">
        <v>63</v>
      </c>
      <c r="D2444" s="2" t="s">
        <v>43</v>
      </c>
      <c r="E2444" s="5">
        <v>-29390</v>
      </c>
      <c r="F2444" s="3" t="s">
        <v>263</v>
      </c>
      <c r="G2444" s="3" t="s">
        <v>28</v>
      </c>
      <c r="H2444" s="2" t="s">
        <v>65</v>
      </c>
      <c r="I2444" s="2" t="s">
        <v>5978</v>
      </c>
      <c r="J2444" s="3" t="str">
        <f>HYPERLINK("https://www.boe.es/gazeta/dias/1819/07/13/pdfs/GMD-1819-84.pdf#page=8","Abrir facsímil")</f>
        <v>Abrir facsímil</v>
      </c>
      <c r="K2444" s="3" t="s">
        <v>67</v>
      </c>
    </row>
    <row r="2445" spans="1:11" ht="42" customHeight="1">
      <c r="A2445" s="2" t="s">
        <v>5979</v>
      </c>
      <c r="B2445" s="2" t="s">
        <v>5980</v>
      </c>
      <c r="C2445" s="2" t="s">
        <v>63</v>
      </c>
      <c r="D2445" s="2" t="s">
        <v>43</v>
      </c>
      <c r="E2445" s="5">
        <v>-29253</v>
      </c>
      <c r="F2445" s="3" t="s">
        <v>242</v>
      </c>
      <c r="G2445" s="3" t="s">
        <v>1048</v>
      </c>
      <c r="H2445" s="2" t="s">
        <v>65</v>
      </c>
      <c r="I2445" s="2" t="s">
        <v>5981</v>
      </c>
      <c r="J2445" s="3" t="str">
        <f>HYPERLINK("https://www.boe.es/gazeta/dias/1819/11/27/pdfs/GMD-1819-146.pdf#page=5","Abrir facsímil")</f>
        <v>Abrir facsímil</v>
      </c>
      <c r="K2445" s="3" t="s">
        <v>67</v>
      </c>
    </row>
    <row r="2446" spans="1:11" ht="42" customHeight="1">
      <c r="A2446" s="2" t="s">
        <v>5982</v>
      </c>
      <c r="B2446" s="2" t="s">
        <v>5982</v>
      </c>
      <c r="C2446" s="2" t="s">
        <v>80</v>
      </c>
      <c r="D2446" s="2" t="s">
        <v>81</v>
      </c>
      <c r="E2446" s="5">
        <v>-29472</v>
      </c>
      <c r="F2446" s="3" t="s">
        <v>393</v>
      </c>
      <c r="G2446" s="3" t="s">
        <v>259</v>
      </c>
      <c r="H2446" s="2" t="s">
        <v>65</v>
      </c>
      <c r="I2446" s="2" t="s">
        <v>5983</v>
      </c>
      <c r="J2446" s="3" t="str">
        <f>HYPERLINK("https://www.boe.es/gazeta/dias/1819/04/22/pdfs/GMD-1819-48.pdf#page=2","Abrir facsímil")</f>
        <v>Abrir facsímil</v>
      </c>
      <c r="K2446" s="3" t="s">
        <v>67</v>
      </c>
    </row>
    <row r="2447" spans="1:11" ht="42" customHeight="1">
      <c r="A2447" s="2" t="s">
        <v>5984</v>
      </c>
      <c r="B2447" s="2" t="s">
        <v>5984</v>
      </c>
      <c r="C2447" s="2" t="s">
        <v>246</v>
      </c>
      <c r="D2447" s="2" t="s">
        <v>18</v>
      </c>
      <c r="E2447" s="5">
        <v>-29465</v>
      </c>
      <c r="F2447" s="3" t="s">
        <v>1934</v>
      </c>
      <c r="G2447" s="3" t="s">
        <v>296</v>
      </c>
      <c r="H2447" s="2" t="s">
        <v>65</v>
      </c>
      <c r="I2447" s="2" t="s">
        <v>5985</v>
      </c>
      <c r="J2447" s="3" t="str">
        <f>HYPERLINK("https://www.boe.es/gazeta/dias/1819/04/29/pdfs/GMD-1819-51.pdf#page=4","Abrir facsímil")</f>
        <v>Abrir facsímil</v>
      </c>
      <c r="K2447" s="3" t="s">
        <v>67</v>
      </c>
    </row>
    <row r="2448" spans="1:11" ht="42" customHeight="1">
      <c r="A2448" s="2" t="s">
        <v>5986</v>
      </c>
      <c r="B2448" s="2" t="s">
        <v>5987</v>
      </c>
      <c r="C2448" s="2" t="s">
        <v>26</v>
      </c>
      <c r="D2448" s="2" t="s">
        <v>18</v>
      </c>
      <c r="E2448" s="5">
        <v>-29239</v>
      </c>
      <c r="F2448" s="3" t="s">
        <v>724</v>
      </c>
      <c r="G2448" s="3" t="s">
        <v>28</v>
      </c>
      <c r="H2448" s="2" t="s">
        <v>65</v>
      </c>
      <c r="I2448" s="2" t="s">
        <v>5988</v>
      </c>
      <c r="J2448" s="3" t="str">
        <f>HYPERLINK("https://www.boe.es/gazeta/dias/1819/12/11/pdfs/GMD-1819-152.pdf#page=8","Abrir facsímil")</f>
        <v>Abrir facsímil</v>
      </c>
      <c r="K2448" s="3" t="s">
        <v>67</v>
      </c>
    </row>
    <row r="2449" spans="1:11" ht="42" customHeight="1">
      <c r="A2449" s="2" t="s">
        <v>5989</v>
      </c>
      <c r="B2449" s="2" t="s">
        <v>5990</v>
      </c>
      <c r="C2449" s="2" t="s">
        <v>80</v>
      </c>
      <c r="D2449" s="2" t="s">
        <v>81</v>
      </c>
      <c r="E2449" s="5">
        <v>-29444</v>
      </c>
      <c r="F2449" s="3" t="s">
        <v>258</v>
      </c>
      <c r="G2449" s="3" t="s">
        <v>33</v>
      </c>
      <c r="H2449" s="2" t="s">
        <v>65</v>
      </c>
      <c r="I2449" s="2" t="s">
        <v>5991</v>
      </c>
      <c r="J2449" s="3" t="str">
        <f>HYPERLINK("https://www.boe.es/gazeta/dias/1819/05/20/pdfs/GMD-1819-60.pdf#page=6","Abrir facsímil")</f>
        <v>Abrir facsímil</v>
      </c>
      <c r="K2449" s="3" t="s">
        <v>67</v>
      </c>
    </row>
    <row r="2450" spans="1:11" ht="42" customHeight="1">
      <c r="A2450" s="2" t="s">
        <v>5992</v>
      </c>
      <c r="B2450" s="2" t="s">
        <v>5993</v>
      </c>
      <c r="C2450" s="2" t="s">
        <v>80</v>
      </c>
      <c r="D2450" s="2" t="s">
        <v>81</v>
      </c>
      <c r="E2450" s="5">
        <v>-29253</v>
      </c>
      <c r="F2450" s="3" t="s">
        <v>242</v>
      </c>
      <c r="G2450" s="3" t="s">
        <v>1048</v>
      </c>
      <c r="H2450" s="2" t="s">
        <v>21</v>
      </c>
      <c r="I2450" s="2" t="s">
        <v>5994</v>
      </c>
      <c r="J2450" s="3" t="str">
        <f>HYPERLINK("https://www.boe.es/gazeta/dias/1819/11/27/pdfs/GMD-1819-146.pdf#page=5","Abrir facsímil")</f>
        <v>Abrir facsímil</v>
      </c>
      <c r="K2450" s="3" t="s">
        <v>23</v>
      </c>
    </row>
    <row r="2451" spans="1:11" ht="42" customHeight="1">
      <c r="A2451" s="2" t="s">
        <v>5995</v>
      </c>
      <c r="B2451" s="2" t="s">
        <v>5996</v>
      </c>
      <c r="C2451" s="2" t="s">
        <v>59</v>
      </c>
      <c r="D2451" s="2" t="s">
        <v>18</v>
      </c>
      <c r="E2451" s="5">
        <v>-29425</v>
      </c>
      <c r="F2451" s="3" t="s">
        <v>110</v>
      </c>
      <c r="G2451" s="3" t="s">
        <v>55</v>
      </c>
      <c r="H2451" s="2" t="s">
        <v>65</v>
      </c>
      <c r="I2451" s="2" t="s">
        <v>5997</v>
      </c>
      <c r="J2451" s="3" t="str">
        <f>HYPERLINK("https://www.boe.es/gazeta/dias/1819/06/08/pdfs/GMD-1819-68.pdf#page=7","Abrir facsímil")</f>
        <v>Abrir facsímil</v>
      </c>
      <c r="K2451" s="3" t="s">
        <v>67</v>
      </c>
    </row>
    <row r="2452" spans="1:11" ht="42" customHeight="1">
      <c r="A2452" s="2" t="s">
        <v>5998</v>
      </c>
      <c r="B2452" s="2" t="s">
        <v>5999</v>
      </c>
      <c r="C2452" s="2" t="s">
        <v>63</v>
      </c>
      <c r="D2452" s="2" t="s">
        <v>43</v>
      </c>
      <c r="E2452" s="5">
        <v>-29274</v>
      </c>
      <c r="F2452" s="3" t="s">
        <v>247</v>
      </c>
      <c r="G2452" s="3" t="s">
        <v>33</v>
      </c>
      <c r="H2452" s="2" t="s">
        <v>65</v>
      </c>
      <c r="I2452" s="2" t="s">
        <v>6000</v>
      </c>
      <c r="J2452" s="3" t="str">
        <f>HYPERLINK("https://www.boe.es/gazeta/dias/1819/11/06/pdfs/GMD-1819-137.pdf#page=6","Abrir facsímil")</f>
        <v>Abrir facsímil</v>
      </c>
      <c r="K2452" s="3" t="s">
        <v>67</v>
      </c>
    </row>
    <row r="2453" spans="1:11" ht="42" customHeight="1">
      <c r="A2453" s="2" t="s">
        <v>6001</v>
      </c>
      <c r="B2453" s="2" t="s">
        <v>6002</v>
      </c>
      <c r="C2453" s="2" t="s">
        <v>59</v>
      </c>
      <c r="D2453" s="2" t="s">
        <v>18</v>
      </c>
      <c r="E2453" s="5">
        <v>-29537</v>
      </c>
      <c r="F2453" s="3" t="s">
        <v>593</v>
      </c>
      <c r="G2453" s="3" t="s">
        <v>456</v>
      </c>
      <c r="H2453" s="2" t="s">
        <v>21</v>
      </c>
      <c r="I2453" s="2" t="s">
        <v>6003</v>
      </c>
      <c r="J2453" s="3" t="str">
        <f>HYPERLINK("https://www.boe.es/gazeta/dias/1819/02/16/pdfs/GMD-1819-20.pdf#page=9","Abrir facsímil")</f>
        <v>Abrir facsímil</v>
      </c>
      <c r="K2453" s="3" t="s">
        <v>23</v>
      </c>
    </row>
    <row r="2454" spans="1:11" ht="42" customHeight="1">
      <c r="A2454" s="2" t="s">
        <v>6004</v>
      </c>
      <c r="B2454" s="2" t="s">
        <v>6005</v>
      </c>
      <c r="C2454" s="2" t="s">
        <v>59</v>
      </c>
      <c r="D2454" s="2" t="s">
        <v>18</v>
      </c>
      <c r="E2454" s="5">
        <v>-29537</v>
      </c>
      <c r="F2454" s="3" t="s">
        <v>593</v>
      </c>
      <c r="G2454" s="3" t="s">
        <v>456</v>
      </c>
      <c r="H2454" s="2" t="s">
        <v>21</v>
      </c>
      <c r="I2454" s="2" t="s">
        <v>6006</v>
      </c>
      <c r="J2454" s="3" t="str">
        <f>HYPERLINK("https://www.boe.es/gazeta/dias/1819/02/16/pdfs/GMD-1819-20.pdf#page=9","Abrir facsímil")</f>
        <v>Abrir facsímil</v>
      </c>
      <c r="K2454" s="3" t="s">
        <v>23</v>
      </c>
    </row>
    <row r="2455" spans="1:11" ht="42" customHeight="1">
      <c r="A2455" s="2" t="s">
        <v>6007</v>
      </c>
      <c r="B2455" s="2" t="s">
        <v>6008</v>
      </c>
      <c r="C2455" s="2" t="s">
        <v>80</v>
      </c>
      <c r="D2455" s="2" t="s">
        <v>81</v>
      </c>
      <c r="E2455" s="5">
        <v>-29502</v>
      </c>
      <c r="F2455" s="3" t="s">
        <v>86</v>
      </c>
      <c r="G2455" s="3" t="s">
        <v>2658</v>
      </c>
      <c r="H2455" s="2" t="s">
        <v>65</v>
      </c>
      <c r="I2455" s="2" t="s">
        <v>6009</v>
      </c>
      <c r="J2455" s="3" t="str">
        <f>HYPERLINK("https://www.boe.es/gazeta/dias/1819/03/23/pdfs/GMD-1819-35.pdf#page=4","Abrir facsímil")</f>
        <v>Abrir facsímil</v>
      </c>
      <c r="K2455" s="3" t="s">
        <v>67</v>
      </c>
    </row>
    <row r="2456" spans="1:11" ht="42" customHeight="1">
      <c r="A2456" s="2" t="s">
        <v>6010</v>
      </c>
      <c r="B2456" s="2" t="s">
        <v>6010</v>
      </c>
      <c r="C2456" s="2" t="s">
        <v>59</v>
      </c>
      <c r="D2456" s="2" t="s">
        <v>18</v>
      </c>
      <c r="E2456" s="5">
        <v>-29516</v>
      </c>
      <c r="F2456" s="3" t="s">
        <v>137</v>
      </c>
      <c r="G2456" s="3" t="s">
        <v>94</v>
      </c>
      <c r="H2456" s="2" t="s">
        <v>65</v>
      </c>
      <c r="I2456" s="2" t="s">
        <v>6011</v>
      </c>
      <c r="J2456" s="3" t="str">
        <f>HYPERLINK("https://www.boe.es/gazeta/dias/1819/03/09/pdfs/GMD-1819-29.pdf#page=11","Abrir facsímil")</f>
        <v>Abrir facsímil</v>
      </c>
      <c r="K2456" s="3" t="s">
        <v>67</v>
      </c>
    </row>
    <row r="2457" spans="1:11" ht="42" customHeight="1">
      <c r="A2457" s="2" t="s">
        <v>6010</v>
      </c>
      <c r="B2457" s="2" t="s">
        <v>6010</v>
      </c>
      <c r="C2457" s="2" t="s">
        <v>80</v>
      </c>
      <c r="D2457" s="2" t="s">
        <v>81</v>
      </c>
      <c r="E2457" s="5">
        <v>-29470</v>
      </c>
      <c r="F2457" s="3" t="s">
        <v>1188</v>
      </c>
      <c r="G2457" s="3" t="s">
        <v>296</v>
      </c>
      <c r="H2457" s="2" t="s">
        <v>65</v>
      </c>
      <c r="I2457" s="2" t="s">
        <v>6012</v>
      </c>
      <c r="J2457" s="3" t="str">
        <f>HYPERLINK("https://www.boe.es/gazeta/dias/1819/04/24/pdfs/GMD-1819-49.pdf#page=4","Abrir facsímil")</f>
        <v>Abrir facsímil</v>
      </c>
      <c r="K2457" s="3" t="s">
        <v>67</v>
      </c>
    </row>
    <row r="2458" spans="1:11" ht="42" customHeight="1">
      <c r="A2458" s="2" t="s">
        <v>6013</v>
      </c>
      <c r="B2458" s="2" t="s">
        <v>6013</v>
      </c>
      <c r="C2458" s="2" t="s">
        <v>63</v>
      </c>
      <c r="D2458" s="2" t="s">
        <v>43</v>
      </c>
      <c r="E2458" s="5">
        <v>-29500</v>
      </c>
      <c r="F2458" s="3" t="s">
        <v>212</v>
      </c>
      <c r="G2458" s="3" t="s">
        <v>55</v>
      </c>
      <c r="H2458" s="2" t="s">
        <v>65</v>
      </c>
      <c r="I2458" s="2" t="s">
        <v>6014</v>
      </c>
      <c r="J2458" s="3" t="str">
        <f>HYPERLINK("https://www.boe.es/gazeta/dias/1819/03/25/pdfs/GMD-1819-36.pdf#page=7","Abrir facsímil")</f>
        <v>Abrir facsímil</v>
      </c>
      <c r="K2458" s="3" t="s">
        <v>67</v>
      </c>
    </row>
    <row r="2459" spans="1:11" ht="42" customHeight="1">
      <c r="A2459" s="2" t="s">
        <v>6015</v>
      </c>
      <c r="B2459" s="2" t="s">
        <v>6016</v>
      </c>
      <c r="C2459" s="2" t="s">
        <v>17</v>
      </c>
      <c r="D2459" s="2" t="s">
        <v>18</v>
      </c>
      <c r="E2459" s="5">
        <v>-29257</v>
      </c>
      <c r="F2459" s="3" t="s">
        <v>73</v>
      </c>
      <c r="G2459" s="3" t="s">
        <v>33</v>
      </c>
      <c r="H2459" s="2" t="s">
        <v>65</v>
      </c>
      <c r="I2459" s="2" t="s">
        <v>6017</v>
      </c>
      <c r="J2459" s="3" t="str">
        <f>HYPERLINK("https://www.boe.es/gazeta/dias/1819/11/23/pdfs/GMD-1819-144.pdf#page=6","Abrir facsímil")</f>
        <v>Abrir facsímil</v>
      </c>
      <c r="K2459" s="3" t="s">
        <v>67</v>
      </c>
    </row>
    <row r="2460" spans="1:11" ht="42" customHeight="1">
      <c r="A2460" s="2" t="s">
        <v>6018</v>
      </c>
      <c r="B2460" s="2" t="s">
        <v>6019</v>
      </c>
      <c r="C2460" s="2" t="s">
        <v>80</v>
      </c>
      <c r="D2460" s="2" t="s">
        <v>81</v>
      </c>
      <c r="E2460" s="5">
        <v>-29248</v>
      </c>
      <c r="F2460" s="3" t="s">
        <v>395</v>
      </c>
      <c r="G2460" s="3" t="s">
        <v>1179</v>
      </c>
      <c r="H2460" s="2" t="s">
        <v>65</v>
      </c>
      <c r="I2460" s="2" t="s">
        <v>6020</v>
      </c>
      <c r="J2460" s="3" t="str">
        <f>HYPERLINK("https://www.boe.es/gazeta/dias/1819/12/02/pdfs/GMD-1819-148.pdf#page=10","Abrir facsímil")</f>
        <v>Abrir facsímil</v>
      </c>
      <c r="K2460" s="3" t="s">
        <v>67</v>
      </c>
    </row>
    <row r="2461" spans="1:11" ht="42" customHeight="1">
      <c r="A2461" s="2" t="s">
        <v>6018</v>
      </c>
      <c r="B2461" s="2" t="s">
        <v>6019</v>
      </c>
      <c r="C2461" s="2" t="s">
        <v>80</v>
      </c>
      <c r="D2461" s="2" t="s">
        <v>81</v>
      </c>
      <c r="E2461" s="5">
        <v>-29248</v>
      </c>
      <c r="F2461" s="3" t="s">
        <v>395</v>
      </c>
      <c r="G2461" s="3" t="s">
        <v>94</v>
      </c>
      <c r="H2461" s="2" t="s">
        <v>65</v>
      </c>
      <c r="I2461" s="2" t="s">
        <v>6021</v>
      </c>
      <c r="J2461" s="3" t="str">
        <f>HYPERLINK("https://www.boe.es/gazeta/dias/1819/12/02/pdfs/GMD-1819-148.pdf#page=11","Abrir facsímil")</f>
        <v>Abrir facsímil</v>
      </c>
      <c r="K2461" s="3" t="s">
        <v>67</v>
      </c>
    </row>
    <row r="2462" spans="1:11" ht="42" customHeight="1">
      <c r="A2462" s="2" t="s">
        <v>6022</v>
      </c>
      <c r="B2462" s="2" t="s">
        <v>6022</v>
      </c>
      <c r="C2462" s="2" t="s">
        <v>80</v>
      </c>
      <c r="D2462" s="2" t="s">
        <v>81</v>
      </c>
      <c r="E2462" s="5">
        <v>-29435</v>
      </c>
      <c r="F2462" s="3" t="s">
        <v>191</v>
      </c>
      <c r="G2462" s="3" t="s">
        <v>259</v>
      </c>
      <c r="H2462" s="2" t="s">
        <v>65</v>
      </c>
      <c r="I2462" s="2" t="s">
        <v>6023</v>
      </c>
      <c r="J2462" s="3" t="str">
        <f>HYPERLINK("https://www.boe.es/gazeta/dias/1819/05/29/pdfs/GMD-1819-64.pdf#page=2","Abrir facsímil")</f>
        <v>Abrir facsímil</v>
      </c>
      <c r="K2462" s="3" t="s">
        <v>67</v>
      </c>
    </row>
    <row r="2463" spans="1:11" ht="42" customHeight="1">
      <c r="A2463" s="2" t="s">
        <v>6024</v>
      </c>
      <c r="B2463" s="2" t="s">
        <v>6024</v>
      </c>
      <c r="C2463" s="2" t="s">
        <v>80</v>
      </c>
      <c r="D2463" s="2" t="s">
        <v>81</v>
      </c>
      <c r="E2463" s="5">
        <v>-29404</v>
      </c>
      <c r="F2463" s="3" t="s">
        <v>1939</v>
      </c>
      <c r="G2463" s="3" t="s">
        <v>239</v>
      </c>
      <c r="H2463" s="2" t="s">
        <v>65</v>
      </c>
      <c r="I2463" s="2" t="s">
        <v>6025</v>
      </c>
      <c r="J2463" s="3" t="str">
        <f>HYPERLINK("https://www.boe.es/gazeta/dias/1819/06/29/pdfs/GMD-1819-78.pdf#page=1","Abrir facsímil")</f>
        <v>Abrir facsímil</v>
      </c>
      <c r="K2463" s="3" t="s">
        <v>67</v>
      </c>
    </row>
    <row r="2464" spans="1:11" ht="42" customHeight="1">
      <c r="A2464" s="2" t="s">
        <v>6026</v>
      </c>
      <c r="B2464" s="2" t="s">
        <v>6026</v>
      </c>
      <c r="C2464" s="2" t="s">
        <v>63</v>
      </c>
      <c r="D2464" s="2" t="s">
        <v>43</v>
      </c>
      <c r="E2464" s="5">
        <v>-29400</v>
      </c>
      <c r="F2464" s="3" t="s">
        <v>2181</v>
      </c>
      <c r="G2464" s="3" t="s">
        <v>4576</v>
      </c>
      <c r="H2464" s="2" t="s">
        <v>65</v>
      </c>
      <c r="I2464" s="2" t="s">
        <v>6027</v>
      </c>
      <c r="J2464" s="3" t="str">
        <f>HYPERLINK("https://www.boe.es/gazeta/dias/1819/07/03/pdfs/GMD-1819-80.pdf#page=1","Abrir facsímil")</f>
        <v>Abrir facsímil</v>
      </c>
      <c r="K2464" s="3" t="s">
        <v>67</v>
      </c>
    </row>
    <row r="2465" spans="1:11" ht="42" customHeight="1">
      <c r="A2465" s="2" t="s">
        <v>6028</v>
      </c>
      <c r="B2465" s="2" t="s">
        <v>6028</v>
      </c>
      <c r="C2465" s="2" t="s">
        <v>59</v>
      </c>
      <c r="D2465" s="2" t="s">
        <v>18</v>
      </c>
      <c r="E2465" s="5">
        <v>-29365</v>
      </c>
      <c r="F2465" s="3" t="s">
        <v>218</v>
      </c>
      <c r="G2465" s="3" t="s">
        <v>259</v>
      </c>
      <c r="H2465" s="2" t="s">
        <v>65</v>
      </c>
      <c r="I2465" s="2" t="s">
        <v>6029</v>
      </c>
      <c r="J2465" s="3" t="str">
        <f>HYPERLINK("https://www.boe.es/gazeta/dias/1819/08/07/pdfs/GMD-1819-95.pdf#page=2","Abrir facsímil")</f>
        <v>Abrir facsímil</v>
      </c>
      <c r="K2465" s="3" t="s">
        <v>67</v>
      </c>
    </row>
    <row r="2466" spans="1:11" ht="42" customHeight="1">
      <c r="A2466" s="2" t="s">
        <v>6030</v>
      </c>
      <c r="B2466" s="2" t="s">
        <v>6031</v>
      </c>
      <c r="C2466" s="2" t="s">
        <v>59</v>
      </c>
      <c r="D2466" s="2" t="s">
        <v>18</v>
      </c>
      <c r="E2466" s="5">
        <v>-29425</v>
      </c>
      <c r="F2466" s="3" t="s">
        <v>110</v>
      </c>
      <c r="G2466" s="3" t="s">
        <v>55</v>
      </c>
      <c r="H2466" s="2" t="s">
        <v>65</v>
      </c>
      <c r="I2466" s="2" t="s">
        <v>6032</v>
      </c>
      <c r="J2466" s="3" t="str">
        <f>HYPERLINK("https://www.boe.es/gazeta/dias/1819/06/08/pdfs/GMD-1819-68.pdf#page=7","Abrir facsímil")</f>
        <v>Abrir facsímil</v>
      </c>
      <c r="K2466" s="3" t="s">
        <v>67</v>
      </c>
    </row>
    <row r="2467" spans="1:11" ht="42" customHeight="1">
      <c r="A2467" s="2" t="s">
        <v>6033</v>
      </c>
      <c r="B2467" s="2" t="s">
        <v>6034</v>
      </c>
      <c r="C2467" s="2" t="s">
        <v>80</v>
      </c>
      <c r="D2467" s="2" t="s">
        <v>81</v>
      </c>
      <c r="E2467" s="5">
        <v>-29269</v>
      </c>
      <c r="F2467" s="3" t="s">
        <v>565</v>
      </c>
      <c r="G2467" s="3" t="s">
        <v>38</v>
      </c>
      <c r="H2467" s="2" t="s">
        <v>65</v>
      </c>
      <c r="I2467" s="2" t="s">
        <v>6035</v>
      </c>
      <c r="J2467" s="3" t="str">
        <f>HYPERLINK("https://www.boe.es/gazeta/dias/1819/11/11/pdfs/GMD-1819-139.pdf#page=5","Abrir facsímil")</f>
        <v>Abrir facsímil</v>
      </c>
      <c r="K2467" s="3" t="s">
        <v>67</v>
      </c>
    </row>
    <row r="2468" spans="1:11" ht="42" customHeight="1">
      <c r="A2468" s="2" t="s">
        <v>6036</v>
      </c>
      <c r="B2468" s="2" t="s">
        <v>6036</v>
      </c>
      <c r="C2468" s="2" t="s">
        <v>59</v>
      </c>
      <c r="D2468" s="2" t="s">
        <v>18</v>
      </c>
      <c r="E2468" s="5">
        <v>-29346</v>
      </c>
      <c r="F2468" s="3" t="s">
        <v>718</v>
      </c>
      <c r="G2468" s="3" t="s">
        <v>33</v>
      </c>
      <c r="H2468" s="2" t="s">
        <v>65</v>
      </c>
      <c r="I2468" s="2" t="s">
        <v>6037</v>
      </c>
      <c r="J2468" s="3" t="str">
        <f>HYPERLINK("https://www.boe.es/gazeta/dias/1819/08/26/pdfs/GMD-1819-103.pdf#page=6","Abrir facsímil")</f>
        <v>Abrir facsímil</v>
      </c>
      <c r="K2468" s="3" t="s">
        <v>67</v>
      </c>
    </row>
    <row r="2469" spans="1:11" ht="42" customHeight="1">
      <c r="A2469" s="2" t="s">
        <v>6038</v>
      </c>
      <c r="B2469" s="2" t="s">
        <v>6039</v>
      </c>
      <c r="C2469" s="2" t="s">
        <v>59</v>
      </c>
      <c r="D2469" s="2" t="s">
        <v>18</v>
      </c>
      <c r="E2469" s="5">
        <v>-29493</v>
      </c>
      <c r="F2469" s="3" t="s">
        <v>404</v>
      </c>
      <c r="G2469" s="3" t="s">
        <v>33</v>
      </c>
      <c r="H2469" s="2" t="s">
        <v>65</v>
      </c>
      <c r="I2469" s="2" t="s">
        <v>6040</v>
      </c>
      <c r="J2469" s="3" t="str">
        <f>HYPERLINK("https://www.boe.es/gazeta/dias/1819/04/01/pdfs/GMD-1819-39.pdf#page=6","Abrir facsímil")</f>
        <v>Abrir facsímil</v>
      </c>
      <c r="K2469" s="3" t="s">
        <v>67</v>
      </c>
    </row>
    <row r="2470" spans="1:11" ht="42" customHeight="1">
      <c r="A2470" s="2" t="s">
        <v>6041</v>
      </c>
      <c r="B2470" s="2" t="s">
        <v>6042</v>
      </c>
      <c r="C2470" s="2" t="s">
        <v>136</v>
      </c>
      <c r="D2470" s="2" t="s">
        <v>18</v>
      </c>
      <c r="E2470" s="5">
        <v>-29568</v>
      </c>
      <c r="F2470" s="3" t="s">
        <v>966</v>
      </c>
      <c r="G2470" s="3" t="s">
        <v>28</v>
      </c>
      <c r="H2470" s="2" t="s">
        <v>65</v>
      </c>
      <c r="I2470" s="2" t="s">
        <v>6043</v>
      </c>
      <c r="J2470" s="3" t="str">
        <f>HYPERLINK("https://www.boe.es/gazeta/dias/1819/01/16/pdfs/GMD-1819-7.pdf#page=8","Abrir facsímil")</f>
        <v>Abrir facsímil</v>
      </c>
      <c r="K2470" s="3" t="s">
        <v>67</v>
      </c>
    </row>
    <row r="2471" spans="1:11" ht="42" customHeight="1">
      <c r="A2471" s="2" t="s">
        <v>6044</v>
      </c>
      <c r="B2471" s="2" t="s">
        <v>6045</v>
      </c>
      <c r="C2471" s="2" t="s">
        <v>80</v>
      </c>
      <c r="D2471" s="2" t="s">
        <v>81</v>
      </c>
      <c r="E2471" s="5">
        <v>-29274</v>
      </c>
      <c r="F2471" s="3" t="s">
        <v>247</v>
      </c>
      <c r="G2471" s="3" t="s">
        <v>33</v>
      </c>
      <c r="H2471" s="2" t="s">
        <v>65</v>
      </c>
      <c r="I2471" s="2" t="s">
        <v>6046</v>
      </c>
      <c r="J2471" s="3" t="str">
        <f>HYPERLINK("https://www.boe.es/gazeta/dias/1819/11/06/pdfs/GMD-1819-137.pdf#page=6","Abrir facsímil")</f>
        <v>Abrir facsímil</v>
      </c>
      <c r="K2471" s="3" t="s">
        <v>67</v>
      </c>
    </row>
    <row r="2472" spans="1:11" ht="42" customHeight="1">
      <c r="A2472" s="2" t="s">
        <v>6047</v>
      </c>
      <c r="B2472" s="2" t="s">
        <v>6048</v>
      </c>
      <c r="C2472" s="2" t="s">
        <v>80</v>
      </c>
      <c r="D2472" s="2" t="s">
        <v>81</v>
      </c>
      <c r="E2472" s="5">
        <v>-29484</v>
      </c>
      <c r="F2472" s="3" t="s">
        <v>295</v>
      </c>
      <c r="G2472" s="3" t="s">
        <v>55</v>
      </c>
      <c r="H2472" s="2" t="s">
        <v>65</v>
      </c>
      <c r="I2472" s="2" t="s">
        <v>6049</v>
      </c>
      <c r="J2472" s="3" t="str">
        <f>HYPERLINK("https://www.boe.es/gazeta/dias/1819/04/10/pdfs/GMD-1819-43.pdf#page=7","Abrir facsímil")</f>
        <v>Abrir facsímil</v>
      </c>
      <c r="K2472" s="3" t="s">
        <v>67</v>
      </c>
    </row>
    <row r="2473" spans="1:11" ht="42" customHeight="1">
      <c r="A2473" s="2" t="s">
        <v>6050</v>
      </c>
      <c r="B2473" s="2" t="s">
        <v>6051</v>
      </c>
      <c r="C2473" s="2" t="s">
        <v>59</v>
      </c>
      <c r="D2473" s="2" t="s">
        <v>18</v>
      </c>
      <c r="E2473" s="5">
        <v>-29325</v>
      </c>
      <c r="F2473" s="3" t="s">
        <v>174</v>
      </c>
      <c r="G2473" s="3" t="s">
        <v>33</v>
      </c>
      <c r="H2473" s="2" t="s">
        <v>65</v>
      </c>
      <c r="I2473" s="2" t="s">
        <v>6052</v>
      </c>
      <c r="J2473" s="3" t="str">
        <f>HYPERLINK("https://www.boe.es/gazeta/dias/1819/09/16/pdfs/GMD-1819-113.pdf#page=6","Abrir facsímil")</f>
        <v>Abrir facsímil</v>
      </c>
      <c r="K2473" s="3" t="s">
        <v>67</v>
      </c>
    </row>
    <row r="2474" spans="1:11" ht="42" customHeight="1">
      <c r="A2474" s="2" t="s">
        <v>6053</v>
      </c>
      <c r="B2474" s="2" t="s">
        <v>6054</v>
      </c>
      <c r="C2474" s="2" t="s">
        <v>59</v>
      </c>
      <c r="D2474" s="2" t="s">
        <v>18</v>
      </c>
      <c r="E2474" s="5">
        <v>-29292</v>
      </c>
      <c r="F2474" s="3" t="s">
        <v>875</v>
      </c>
      <c r="G2474" s="3" t="s">
        <v>28</v>
      </c>
      <c r="H2474" s="2" t="s">
        <v>65</v>
      </c>
      <c r="I2474" s="2" t="s">
        <v>6055</v>
      </c>
      <c r="J2474" s="3" t="str">
        <f>HYPERLINK("https://www.boe.es/gazeta/dias/1819/10/19/pdfs/GMD-1819-128.pdf#page=8","Abrir facsímil")</f>
        <v>Abrir facsímil</v>
      </c>
      <c r="K2474" s="3" t="s">
        <v>67</v>
      </c>
    </row>
    <row r="2475" spans="1:11" ht="42" customHeight="1">
      <c r="A2475" s="2" t="s">
        <v>6056</v>
      </c>
      <c r="B2475" s="2" t="s">
        <v>6057</v>
      </c>
      <c r="C2475" s="2" t="s">
        <v>80</v>
      </c>
      <c r="D2475" s="2" t="s">
        <v>454</v>
      </c>
      <c r="E2475" s="5">
        <v>-29287</v>
      </c>
      <c r="F2475" s="3" t="s">
        <v>455</v>
      </c>
      <c r="G2475" s="3" t="s">
        <v>481</v>
      </c>
      <c r="H2475" s="2" t="s">
        <v>65</v>
      </c>
      <c r="I2475" s="2" t="s">
        <v>6058</v>
      </c>
      <c r="J2475" s="3" t="str">
        <f>HYPERLINK("https://www.boe.es/gazeta/dias/1819/10/24/pdfs/GMD-1819-131E.pdf#page=8","Abrir facsímil")</f>
        <v>Abrir facsímil</v>
      </c>
      <c r="K2475" s="3" t="s">
        <v>67</v>
      </c>
    </row>
    <row r="2476" spans="1:11" ht="42" customHeight="1">
      <c r="A2476" s="2" t="s">
        <v>6059</v>
      </c>
      <c r="B2476" s="2" t="s">
        <v>6060</v>
      </c>
      <c r="C2476" s="2" t="s">
        <v>59</v>
      </c>
      <c r="D2476" s="2" t="s">
        <v>18</v>
      </c>
      <c r="E2476" s="5">
        <v>-29425</v>
      </c>
      <c r="F2476" s="3" t="s">
        <v>110</v>
      </c>
      <c r="G2476" s="3" t="s">
        <v>55</v>
      </c>
      <c r="H2476" s="2" t="s">
        <v>65</v>
      </c>
      <c r="I2476" s="2" t="s">
        <v>6061</v>
      </c>
      <c r="J2476" s="3" t="str">
        <f>HYPERLINK("https://www.boe.es/gazeta/dias/1819/06/08/pdfs/GMD-1819-68.pdf#page=7","Abrir facsímil")</f>
        <v>Abrir facsímil</v>
      </c>
      <c r="K2476" s="3" t="s">
        <v>67</v>
      </c>
    </row>
    <row r="2477" spans="1:11" ht="42" customHeight="1">
      <c r="A2477" s="2" t="s">
        <v>6062</v>
      </c>
      <c r="B2477" s="2" t="s">
        <v>6063</v>
      </c>
      <c r="C2477" s="2" t="s">
        <v>59</v>
      </c>
      <c r="D2477" s="2" t="s">
        <v>18</v>
      </c>
      <c r="E2477" s="5">
        <v>-29425</v>
      </c>
      <c r="F2477" s="3" t="s">
        <v>110</v>
      </c>
      <c r="G2477" s="3" t="s">
        <v>55</v>
      </c>
      <c r="H2477" s="2" t="s">
        <v>65</v>
      </c>
      <c r="I2477" s="2" t="s">
        <v>6064</v>
      </c>
      <c r="J2477" s="3" t="str">
        <f>HYPERLINK("https://www.boe.es/gazeta/dias/1819/06/08/pdfs/GMD-1819-68.pdf#page=7","Abrir facsímil")</f>
        <v>Abrir facsímil</v>
      </c>
      <c r="K2477" s="3" t="s">
        <v>67</v>
      </c>
    </row>
    <row r="2478" spans="1:11" ht="42" customHeight="1">
      <c r="A2478" s="2" t="s">
        <v>6065</v>
      </c>
      <c r="B2478" s="2" t="s">
        <v>6066</v>
      </c>
      <c r="C2478" s="2" t="s">
        <v>63</v>
      </c>
      <c r="D2478" s="2" t="s">
        <v>43</v>
      </c>
      <c r="E2478" s="5">
        <v>-29274</v>
      </c>
      <c r="F2478" s="3" t="s">
        <v>247</v>
      </c>
      <c r="G2478" s="3" t="s">
        <v>33</v>
      </c>
      <c r="H2478" s="2" t="s">
        <v>65</v>
      </c>
      <c r="I2478" s="2" t="s">
        <v>6067</v>
      </c>
      <c r="J2478" s="3" t="str">
        <f>HYPERLINK("https://www.boe.es/gazeta/dias/1819/11/06/pdfs/GMD-1819-137.pdf#page=6","Abrir facsímil")</f>
        <v>Abrir facsímil</v>
      </c>
      <c r="K2478" s="3" t="s">
        <v>67</v>
      </c>
    </row>
    <row r="2479" spans="1:11" ht="42" customHeight="1">
      <c r="A2479" s="2" t="s">
        <v>6065</v>
      </c>
      <c r="B2479" s="2" t="s">
        <v>6066</v>
      </c>
      <c r="C2479" s="2" t="s">
        <v>80</v>
      </c>
      <c r="D2479" s="2" t="s">
        <v>81</v>
      </c>
      <c r="E2479" s="5">
        <v>-29243</v>
      </c>
      <c r="F2479" s="3" t="s">
        <v>2099</v>
      </c>
      <c r="G2479" s="3" t="s">
        <v>4722</v>
      </c>
      <c r="H2479" s="2" t="s">
        <v>65</v>
      </c>
      <c r="I2479" s="2" t="s">
        <v>6068</v>
      </c>
      <c r="J2479" s="3" t="str">
        <f>HYPERLINK("https://www.boe.es/gazeta/dias/1819/12/07/pdfs/GMD-1819-150.pdf#page=5","Abrir facsímil")</f>
        <v>Abrir facsímil</v>
      </c>
      <c r="K2479" s="3" t="s">
        <v>67</v>
      </c>
    </row>
    <row r="2480" spans="1:11" ht="42" customHeight="1">
      <c r="A2480" s="2" t="s">
        <v>6069</v>
      </c>
      <c r="B2480" s="2" t="s">
        <v>6070</v>
      </c>
      <c r="C2480" s="2" t="s">
        <v>59</v>
      </c>
      <c r="D2480" s="2" t="s">
        <v>18</v>
      </c>
      <c r="E2480" s="5">
        <v>-29425</v>
      </c>
      <c r="F2480" s="3" t="s">
        <v>110</v>
      </c>
      <c r="G2480" s="3" t="s">
        <v>55</v>
      </c>
      <c r="H2480" s="2" t="s">
        <v>65</v>
      </c>
      <c r="I2480" s="2" t="s">
        <v>6071</v>
      </c>
      <c r="J2480" s="3" t="str">
        <f>HYPERLINK("https://www.boe.es/gazeta/dias/1819/06/08/pdfs/GMD-1819-68.pdf#page=7","Abrir facsímil")</f>
        <v>Abrir facsímil</v>
      </c>
      <c r="K2480" s="3" t="s">
        <v>67</v>
      </c>
    </row>
    <row r="2481" spans="1:11" ht="42" customHeight="1">
      <c r="A2481" s="2" t="s">
        <v>6072</v>
      </c>
      <c r="B2481" s="2" t="s">
        <v>6073</v>
      </c>
      <c r="C2481" s="2" t="s">
        <v>136</v>
      </c>
      <c r="D2481" s="2" t="s">
        <v>18</v>
      </c>
      <c r="E2481" s="5">
        <v>-29537</v>
      </c>
      <c r="F2481" s="3" t="s">
        <v>593</v>
      </c>
      <c r="G2481" s="3" t="s">
        <v>28</v>
      </c>
      <c r="H2481" s="2" t="s">
        <v>65</v>
      </c>
      <c r="I2481" s="2" t="s">
        <v>6074</v>
      </c>
      <c r="J2481" s="3" t="str">
        <f>HYPERLINK("https://www.boe.es/gazeta/dias/1819/02/16/pdfs/GMD-1819-20.pdf#page=8","Abrir facsímil")</f>
        <v>Abrir facsímil</v>
      </c>
      <c r="K2481" s="3" t="s">
        <v>67</v>
      </c>
    </row>
    <row r="2482" spans="1:11" ht="42" customHeight="1">
      <c r="A2482" s="2" t="s">
        <v>6075</v>
      </c>
      <c r="B2482" s="2" t="s">
        <v>6076</v>
      </c>
      <c r="C2482" s="2" t="s">
        <v>80</v>
      </c>
      <c r="D2482" s="2" t="s">
        <v>81</v>
      </c>
      <c r="E2482" s="5">
        <v>-29526</v>
      </c>
      <c r="F2482" s="3" t="s">
        <v>307</v>
      </c>
      <c r="G2482" s="3" t="s">
        <v>55</v>
      </c>
      <c r="H2482" s="2" t="s">
        <v>65</v>
      </c>
      <c r="I2482" s="2" t="s">
        <v>6077</v>
      </c>
      <c r="J2482" s="3" t="str">
        <f>HYPERLINK("https://www.boe.es/gazeta/dias/1819/02/27/pdfs/GMD-1819-25.pdf#page=7","Abrir facsímil")</f>
        <v>Abrir facsímil</v>
      </c>
      <c r="K2482" s="3" t="s">
        <v>67</v>
      </c>
    </row>
    <row r="2483" spans="1:11" ht="42" customHeight="1">
      <c r="A2483" s="2" t="s">
        <v>6078</v>
      </c>
      <c r="B2483" s="2" t="s">
        <v>6079</v>
      </c>
      <c r="C2483" s="2" t="s">
        <v>59</v>
      </c>
      <c r="D2483" s="2" t="s">
        <v>18</v>
      </c>
      <c r="E2483" s="5">
        <v>-29425</v>
      </c>
      <c r="F2483" s="3" t="s">
        <v>110</v>
      </c>
      <c r="G2483" s="3" t="s">
        <v>55</v>
      </c>
      <c r="H2483" s="2" t="s">
        <v>65</v>
      </c>
      <c r="I2483" s="2" t="s">
        <v>6080</v>
      </c>
      <c r="J2483" s="3" t="str">
        <f>HYPERLINK("https://www.boe.es/gazeta/dias/1819/06/08/pdfs/GMD-1819-68.pdf#page=7","Abrir facsímil")</f>
        <v>Abrir facsímil</v>
      </c>
      <c r="K2483" s="3" t="s">
        <v>67</v>
      </c>
    </row>
    <row r="2484" spans="1:11" ht="42" customHeight="1">
      <c r="A2484" s="2" t="s">
        <v>6081</v>
      </c>
      <c r="B2484" s="2" t="s">
        <v>6082</v>
      </c>
      <c r="C2484" s="2" t="s">
        <v>136</v>
      </c>
      <c r="D2484" s="2" t="s">
        <v>18</v>
      </c>
      <c r="E2484" s="5">
        <v>-29540</v>
      </c>
      <c r="F2484" s="3" t="s">
        <v>154</v>
      </c>
      <c r="G2484" s="3" t="s">
        <v>55</v>
      </c>
      <c r="H2484" s="2" t="s">
        <v>65</v>
      </c>
      <c r="I2484" s="2" t="s">
        <v>6083</v>
      </c>
      <c r="J2484" s="3" t="str">
        <f>HYPERLINK("https://www.boe.es/gazeta/dias/1819/02/13/pdfs/GMD-1819-19.pdf#page=7","Abrir facsímil")</f>
        <v>Abrir facsímil</v>
      </c>
      <c r="K2484" s="3" t="s">
        <v>67</v>
      </c>
    </row>
    <row r="2485" spans="1:11" ht="42" customHeight="1">
      <c r="A2485" s="2" t="s">
        <v>6084</v>
      </c>
      <c r="B2485" s="2" t="s">
        <v>6085</v>
      </c>
      <c r="C2485" s="2" t="s">
        <v>26</v>
      </c>
      <c r="D2485" s="2" t="s">
        <v>18</v>
      </c>
      <c r="E2485" s="5">
        <v>-29241</v>
      </c>
      <c r="F2485" s="3" t="s">
        <v>1382</v>
      </c>
      <c r="G2485" s="3" t="s">
        <v>33</v>
      </c>
      <c r="H2485" s="2" t="s">
        <v>65</v>
      </c>
      <c r="I2485" s="2" t="s">
        <v>6086</v>
      </c>
      <c r="J2485" s="3" t="str">
        <f>HYPERLINK("https://www.boe.es/gazeta/dias/1819/12/09/pdfs/GMD-1819-151.pdf#page=6","Abrir facsímil")</f>
        <v>Abrir facsímil</v>
      </c>
      <c r="K2485" s="3" t="s">
        <v>67</v>
      </c>
    </row>
    <row r="2486" spans="1:11" ht="42" customHeight="1">
      <c r="A2486" s="2" t="s">
        <v>6087</v>
      </c>
      <c r="B2486" s="2" t="s">
        <v>6088</v>
      </c>
      <c r="C2486" s="2" t="s">
        <v>80</v>
      </c>
      <c r="D2486" s="2" t="s">
        <v>81</v>
      </c>
      <c r="E2486" s="5">
        <v>-29516</v>
      </c>
      <c r="F2486" s="3" t="s">
        <v>137</v>
      </c>
      <c r="G2486" s="3" t="s">
        <v>138</v>
      </c>
      <c r="H2486" s="2" t="s">
        <v>65</v>
      </c>
      <c r="I2486" s="2" t="s">
        <v>6089</v>
      </c>
      <c r="J2486" s="3" t="str">
        <f>HYPERLINK("https://www.boe.es/gazeta/dias/1819/03/09/pdfs/GMD-1819-29.pdf#page=12","Abrir facsímil")</f>
        <v>Abrir facsímil</v>
      </c>
      <c r="K2486" s="3" t="s">
        <v>67</v>
      </c>
    </row>
    <row r="2487" spans="1:11" ht="42" customHeight="1">
      <c r="A2487" s="2" t="s">
        <v>6090</v>
      </c>
      <c r="B2487" s="2" t="s">
        <v>6091</v>
      </c>
      <c r="C2487" s="2" t="s">
        <v>136</v>
      </c>
      <c r="D2487" s="2" t="s">
        <v>18</v>
      </c>
      <c r="E2487" s="5">
        <v>-29439</v>
      </c>
      <c r="F2487" s="3" t="s">
        <v>1101</v>
      </c>
      <c r="G2487" s="3" t="s">
        <v>239</v>
      </c>
      <c r="H2487" s="2" t="s">
        <v>65</v>
      </c>
      <c r="I2487" s="2" t="s">
        <v>6092</v>
      </c>
      <c r="J2487" s="3" t="str">
        <f>HYPERLINK("https://www.boe.es/gazeta/dias/1819/05/25/pdfs/GMD-1819-62.pdf#page=1","Abrir facsímil")</f>
        <v>Abrir facsímil</v>
      </c>
      <c r="K2487" s="3" t="s">
        <v>67</v>
      </c>
    </row>
    <row r="2488" spans="1:11" ht="42" customHeight="1">
      <c r="A2488" s="2" t="s">
        <v>6093</v>
      </c>
      <c r="B2488" s="2" t="s">
        <v>6094</v>
      </c>
      <c r="C2488" s="2" t="s">
        <v>17</v>
      </c>
      <c r="D2488" s="2" t="s">
        <v>18</v>
      </c>
      <c r="E2488" s="5">
        <v>-29540</v>
      </c>
      <c r="F2488" s="3" t="s">
        <v>154</v>
      </c>
      <c r="G2488" s="3" t="s">
        <v>33</v>
      </c>
      <c r="H2488" s="2" t="s">
        <v>21</v>
      </c>
      <c r="I2488" s="2" t="s">
        <v>6095</v>
      </c>
      <c r="J2488" s="3" t="str">
        <f>HYPERLINK("https://www.boe.es/gazeta/dias/1819/02/13/pdfs/GMD-1819-19.pdf#page=6","Abrir facsímil")</f>
        <v>Abrir facsímil</v>
      </c>
      <c r="K2488" s="3" t="s">
        <v>23</v>
      </c>
    </row>
    <row r="2489" spans="1:11" ht="42" customHeight="1">
      <c r="A2489" s="2" t="s">
        <v>6096</v>
      </c>
      <c r="B2489" s="2" t="s">
        <v>6097</v>
      </c>
      <c r="C2489" s="2" t="s">
        <v>59</v>
      </c>
      <c r="D2489" s="2" t="s">
        <v>18</v>
      </c>
      <c r="E2489" s="5">
        <v>-29358</v>
      </c>
      <c r="F2489" s="3" t="s">
        <v>170</v>
      </c>
      <c r="G2489" s="3" t="s">
        <v>33</v>
      </c>
      <c r="H2489" s="2" t="s">
        <v>65</v>
      </c>
      <c r="I2489" s="2" t="s">
        <v>6098</v>
      </c>
      <c r="J2489" s="3" t="str">
        <f>HYPERLINK("https://www.boe.es/gazeta/dias/1819/08/14/pdfs/GMD-1819-98.pdf#page=6","Abrir facsímil")</f>
        <v>Abrir facsímil</v>
      </c>
      <c r="K2489" s="3" t="s">
        <v>67</v>
      </c>
    </row>
    <row r="2490" spans="1:11" ht="42" customHeight="1">
      <c r="A2490" s="2" t="s">
        <v>6099</v>
      </c>
      <c r="B2490" s="2" t="s">
        <v>6100</v>
      </c>
      <c r="C2490" s="2" t="s">
        <v>63</v>
      </c>
      <c r="D2490" s="2" t="s">
        <v>43</v>
      </c>
      <c r="E2490" s="5">
        <v>-29477</v>
      </c>
      <c r="F2490" s="3" t="s">
        <v>789</v>
      </c>
      <c r="G2490" s="3" t="s">
        <v>55</v>
      </c>
      <c r="H2490" s="2" t="s">
        <v>65</v>
      </c>
      <c r="I2490" s="2" t="s">
        <v>6101</v>
      </c>
      <c r="J2490" s="3" t="str">
        <f>HYPERLINK("https://www.boe.es/gazeta/dias/1819/04/17/pdfs/GMD-1819-46.pdf#page=7","Abrir facsímil")</f>
        <v>Abrir facsímil</v>
      </c>
      <c r="K2490" s="3" t="s">
        <v>67</v>
      </c>
    </row>
    <row r="2491" spans="1:11" ht="42" customHeight="1">
      <c r="A2491" s="2" t="s">
        <v>6102</v>
      </c>
      <c r="B2491" s="2" t="s">
        <v>6102</v>
      </c>
      <c r="C2491" s="2" t="s">
        <v>136</v>
      </c>
      <c r="D2491" s="2" t="s">
        <v>18</v>
      </c>
      <c r="E2491" s="5">
        <v>-29379</v>
      </c>
      <c r="F2491" s="3" t="s">
        <v>161</v>
      </c>
      <c r="G2491" s="3" t="s">
        <v>28</v>
      </c>
      <c r="H2491" s="2" t="s">
        <v>65</v>
      </c>
      <c r="I2491" s="2" t="s">
        <v>6103</v>
      </c>
      <c r="J2491" s="3" t="str">
        <f>HYPERLINK("https://www.boe.es/gazeta/dias/1819/07/24/pdfs/GMD-1819-89.pdf#page=8","Abrir facsímil")</f>
        <v>Abrir facsímil</v>
      </c>
      <c r="K2491" s="3" t="s">
        <v>67</v>
      </c>
    </row>
    <row r="2492" spans="1:11" ht="42" customHeight="1">
      <c r="A2492" s="2" t="s">
        <v>6104</v>
      </c>
      <c r="B2492" s="2" t="s">
        <v>6105</v>
      </c>
      <c r="C2492" s="2" t="s">
        <v>80</v>
      </c>
      <c r="D2492" s="2" t="s">
        <v>454</v>
      </c>
      <c r="E2492" s="5">
        <v>-29324</v>
      </c>
      <c r="F2492" s="3" t="s">
        <v>914</v>
      </c>
      <c r="G2492" s="3" t="s">
        <v>102</v>
      </c>
      <c r="H2492" s="2" t="s">
        <v>21</v>
      </c>
      <c r="I2492" s="2" t="s">
        <v>6106</v>
      </c>
      <c r="J2492" s="3" t="str">
        <f>HYPERLINK("https://www.boe.es/gazeta/dias/1819/09/17/pdfs/GMD-1819-114E.pdf#page=3","Abrir facsímil")</f>
        <v>Abrir facsímil</v>
      </c>
      <c r="K2492" s="3" t="s">
        <v>23</v>
      </c>
    </row>
    <row r="2493" spans="1:11" ht="42" customHeight="1">
      <c r="A2493" s="2" t="s">
        <v>6107</v>
      </c>
      <c r="B2493" s="2" t="s">
        <v>6108</v>
      </c>
      <c r="C2493" s="2" t="s">
        <v>63</v>
      </c>
      <c r="D2493" s="2" t="s">
        <v>43</v>
      </c>
      <c r="E2493" s="5">
        <v>-29239</v>
      </c>
      <c r="F2493" s="3" t="s">
        <v>724</v>
      </c>
      <c r="G2493" s="3" t="s">
        <v>55</v>
      </c>
      <c r="H2493" s="2" t="s">
        <v>65</v>
      </c>
      <c r="I2493" s="2" t="s">
        <v>6109</v>
      </c>
      <c r="J2493" s="3" t="str">
        <f>HYPERLINK("https://www.boe.es/gazeta/dias/1819/12/11/pdfs/GMD-1819-152.pdf#page=7","Abrir facsímil")</f>
        <v>Abrir facsímil</v>
      </c>
      <c r="K2493" s="3" t="s">
        <v>67</v>
      </c>
    </row>
    <row r="2494" spans="1:11" ht="42" customHeight="1">
      <c r="A2494" s="2" t="s">
        <v>6110</v>
      </c>
      <c r="B2494" s="2" t="s">
        <v>6110</v>
      </c>
      <c r="C2494" s="2" t="s">
        <v>80</v>
      </c>
      <c r="D2494" s="2" t="s">
        <v>81</v>
      </c>
      <c r="E2494" s="5">
        <v>-29400</v>
      </c>
      <c r="F2494" s="3" t="s">
        <v>2181</v>
      </c>
      <c r="G2494" s="3" t="s">
        <v>259</v>
      </c>
      <c r="H2494" s="2" t="s">
        <v>65</v>
      </c>
      <c r="I2494" s="2" t="s">
        <v>6111</v>
      </c>
      <c r="J2494" s="3" t="str">
        <f>HYPERLINK("https://www.boe.es/gazeta/dias/1819/07/03/pdfs/GMD-1819-80.pdf#page=2","Abrir facsímil")</f>
        <v>Abrir facsímil</v>
      </c>
      <c r="K2494" s="3" t="s">
        <v>67</v>
      </c>
    </row>
    <row r="2495" spans="1:11" ht="42" customHeight="1">
      <c r="A2495" s="2" t="s">
        <v>6112</v>
      </c>
      <c r="B2495" s="2" t="s">
        <v>6112</v>
      </c>
      <c r="C2495" s="2" t="s">
        <v>59</v>
      </c>
      <c r="D2495" s="2" t="s">
        <v>18</v>
      </c>
      <c r="E2495" s="5">
        <v>-29479</v>
      </c>
      <c r="F2495" s="3" t="s">
        <v>979</v>
      </c>
      <c r="G2495" s="3" t="s">
        <v>259</v>
      </c>
      <c r="H2495" s="2" t="s">
        <v>65</v>
      </c>
      <c r="I2495" s="2" t="s">
        <v>6113</v>
      </c>
      <c r="J2495" s="3" t="str">
        <f>HYPERLINK("https://www.boe.es/gazeta/dias/1819/04/15/pdfs/GMD-1819-45.pdf#page=2","Abrir facsímil")</f>
        <v>Abrir facsímil</v>
      </c>
      <c r="K2495" s="3" t="s">
        <v>67</v>
      </c>
    </row>
    <row r="2496" spans="1:11" ht="42" customHeight="1">
      <c r="A2496" s="2" t="s">
        <v>6112</v>
      </c>
      <c r="B2496" s="2" t="s">
        <v>6112</v>
      </c>
      <c r="C2496" s="2" t="s">
        <v>59</v>
      </c>
      <c r="D2496" s="2" t="s">
        <v>18</v>
      </c>
      <c r="E2496" s="5">
        <v>-29269</v>
      </c>
      <c r="F2496" s="3" t="s">
        <v>565</v>
      </c>
      <c r="G2496" s="3" t="s">
        <v>259</v>
      </c>
      <c r="H2496" s="2" t="s">
        <v>65</v>
      </c>
      <c r="I2496" s="2" t="s">
        <v>6114</v>
      </c>
      <c r="J2496" s="3" t="str">
        <f>HYPERLINK("https://www.boe.es/gazeta/dias/1819/11/11/pdfs/GMD-1819-139.pdf#page=2","Abrir facsímil")</f>
        <v>Abrir facsímil</v>
      </c>
      <c r="K2496" s="3" t="s">
        <v>67</v>
      </c>
    </row>
    <row r="2497" spans="1:11" ht="42" customHeight="1">
      <c r="A2497" s="2" t="s">
        <v>6115</v>
      </c>
      <c r="B2497" s="2" t="s">
        <v>6116</v>
      </c>
      <c r="C2497" s="2" t="s">
        <v>59</v>
      </c>
      <c r="D2497" s="2" t="s">
        <v>18</v>
      </c>
      <c r="E2497" s="5">
        <v>-29439</v>
      </c>
      <c r="F2497" s="3" t="s">
        <v>1101</v>
      </c>
      <c r="G2497" s="3" t="s">
        <v>38</v>
      </c>
      <c r="H2497" s="2" t="s">
        <v>65</v>
      </c>
      <c r="I2497" s="2" t="s">
        <v>6117</v>
      </c>
      <c r="J2497" s="3" t="str">
        <f>HYPERLINK("https://www.boe.es/gazeta/dias/1819/05/25/pdfs/GMD-1819-62.pdf#page=5","Abrir facsímil")</f>
        <v>Abrir facsímil</v>
      </c>
      <c r="K2497" s="3" t="s">
        <v>67</v>
      </c>
    </row>
    <row r="2498" spans="1:11" ht="42" customHeight="1">
      <c r="A2498" s="2" t="s">
        <v>6118</v>
      </c>
      <c r="B2498" s="2" t="s">
        <v>6119</v>
      </c>
      <c r="C2498" s="2" t="s">
        <v>80</v>
      </c>
      <c r="D2498" s="2" t="s">
        <v>81</v>
      </c>
      <c r="E2498" s="5">
        <v>-29544</v>
      </c>
      <c r="F2498" s="3" t="s">
        <v>531</v>
      </c>
      <c r="G2498" s="3" t="s">
        <v>6120</v>
      </c>
      <c r="H2498" s="2" t="s">
        <v>65</v>
      </c>
      <c r="I2498" s="2" t="s">
        <v>6121</v>
      </c>
      <c r="J2498" s="3" t="str">
        <f>HYPERLINK("https://www.boe.es/gazeta/dias/1819/02/09/pdfs/GMD-1819-17.pdf#page=7","Abrir facsímil")</f>
        <v>Abrir facsímil</v>
      </c>
      <c r="K2498" s="3" t="s">
        <v>67</v>
      </c>
    </row>
    <row r="2499" spans="1:11" ht="42" customHeight="1">
      <c r="A2499" s="2" t="s">
        <v>6122</v>
      </c>
      <c r="B2499" s="2" t="s">
        <v>6123</v>
      </c>
      <c r="C2499" s="2" t="s">
        <v>80</v>
      </c>
      <c r="D2499" s="2" t="s">
        <v>81</v>
      </c>
      <c r="E2499" s="5">
        <v>-29537</v>
      </c>
      <c r="F2499" s="3" t="s">
        <v>593</v>
      </c>
      <c r="G2499" s="3" t="s">
        <v>28</v>
      </c>
      <c r="H2499" s="2" t="s">
        <v>21</v>
      </c>
      <c r="I2499" s="2" t="s">
        <v>6124</v>
      </c>
      <c r="J2499" s="3" t="str">
        <f>HYPERLINK("https://www.boe.es/gazeta/dias/1819/02/16/pdfs/GMD-1819-20.pdf#page=8","Abrir facsímil")</f>
        <v>Abrir facsímil</v>
      </c>
      <c r="K2499" s="3" t="s">
        <v>23</v>
      </c>
    </row>
    <row r="2500" spans="1:11" ht="42" customHeight="1">
      <c r="A2500" s="2" t="s">
        <v>6125</v>
      </c>
      <c r="B2500" s="2" t="s">
        <v>6125</v>
      </c>
      <c r="C2500" s="2" t="s">
        <v>215</v>
      </c>
      <c r="D2500" s="2" t="s">
        <v>18</v>
      </c>
      <c r="E2500" s="5">
        <v>-29488</v>
      </c>
      <c r="F2500" s="3" t="s">
        <v>27</v>
      </c>
      <c r="G2500" s="3" t="s">
        <v>28</v>
      </c>
      <c r="H2500" s="2" t="s">
        <v>65</v>
      </c>
      <c r="I2500" s="2" t="s">
        <v>6126</v>
      </c>
      <c r="J2500" s="3" t="str">
        <f>HYPERLINK("https://www.boe.es/gazeta/dias/1819/04/06/pdfs/GMD-1819-41.pdf#page=8","Abrir facsímil")</f>
        <v>Abrir facsímil</v>
      </c>
      <c r="K2500" s="3" t="s">
        <v>67</v>
      </c>
    </row>
    <row r="2501" spans="1:11" ht="42" customHeight="1">
      <c r="A2501" s="2" t="s">
        <v>6127</v>
      </c>
      <c r="B2501" s="2" t="s">
        <v>6128</v>
      </c>
      <c r="C2501" s="2" t="s">
        <v>80</v>
      </c>
      <c r="D2501" s="2" t="s">
        <v>81</v>
      </c>
      <c r="E2501" s="5">
        <v>-29535</v>
      </c>
      <c r="F2501" s="3" t="s">
        <v>200</v>
      </c>
      <c r="G2501" s="3" t="s">
        <v>38</v>
      </c>
      <c r="H2501" s="2" t="s">
        <v>65</v>
      </c>
      <c r="I2501" s="2" t="s">
        <v>6129</v>
      </c>
      <c r="J2501" s="3" t="str">
        <f>HYPERLINK("https://www.boe.es/gazeta/dias/1819/02/18/pdfs/GMD-1819-21.pdf#page=5","Abrir facsímil")</f>
        <v>Abrir facsímil</v>
      </c>
      <c r="K2501" s="3" t="s">
        <v>67</v>
      </c>
    </row>
    <row r="2502" spans="1:11" ht="42" customHeight="1">
      <c r="A2502" s="2" t="s">
        <v>6130</v>
      </c>
      <c r="B2502" s="2" t="s">
        <v>6131</v>
      </c>
      <c r="C2502" s="2" t="s">
        <v>17</v>
      </c>
      <c r="D2502" s="2" t="s">
        <v>18</v>
      </c>
      <c r="E2502" s="5">
        <v>-29248</v>
      </c>
      <c r="F2502" s="3" t="s">
        <v>395</v>
      </c>
      <c r="G2502" s="3" t="s">
        <v>94</v>
      </c>
      <c r="H2502" s="2" t="s">
        <v>65</v>
      </c>
      <c r="I2502" s="2" t="s">
        <v>6132</v>
      </c>
      <c r="J2502" s="3" t="str">
        <f>HYPERLINK("https://www.boe.es/gazeta/dias/1819/12/02/pdfs/GMD-1819-148.pdf#page=11","Abrir facsímil")</f>
        <v>Abrir facsímil</v>
      </c>
      <c r="K2502" s="3" t="s">
        <v>67</v>
      </c>
    </row>
    <row r="2503" spans="1:11" ht="42" customHeight="1">
      <c r="A2503" s="2" t="s">
        <v>6133</v>
      </c>
      <c r="B2503" s="2" t="s">
        <v>6134</v>
      </c>
      <c r="C2503" s="2" t="s">
        <v>63</v>
      </c>
      <c r="D2503" s="2" t="s">
        <v>43</v>
      </c>
      <c r="E2503" s="5">
        <v>-29348</v>
      </c>
      <c r="F2503" s="3" t="s">
        <v>227</v>
      </c>
      <c r="G2503" s="3" t="s">
        <v>55</v>
      </c>
      <c r="H2503" s="2" t="s">
        <v>65</v>
      </c>
      <c r="I2503" s="2" t="s">
        <v>6135</v>
      </c>
      <c r="J2503" s="3" t="str">
        <f>HYPERLINK("https://www.boe.es/gazeta/dias/1819/08/24/pdfs/GMD-1819-102.pdf#page=7","Abrir facsímil")</f>
        <v>Abrir facsímil</v>
      </c>
      <c r="K2503" s="3" t="s">
        <v>67</v>
      </c>
    </row>
    <row r="2504" spans="1:11" ht="42" customHeight="1">
      <c r="A2504" s="2" t="s">
        <v>6136</v>
      </c>
      <c r="B2504" s="2" t="s">
        <v>6137</v>
      </c>
      <c r="C2504" s="2" t="s">
        <v>80</v>
      </c>
      <c r="D2504" s="2" t="s">
        <v>81</v>
      </c>
      <c r="E2504" s="5">
        <v>-29425</v>
      </c>
      <c r="F2504" s="3" t="s">
        <v>110</v>
      </c>
      <c r="G2504" s="3" t="s">
        <v>33</v>
      </c>
      <c r="H2504" s="2" t="s">
        <v>65</v>
      </c>
      <c r="I2504" s="2" t="s">
        <v>6138</v>
      </c>
      <c r="J2504" s="3" t="str">
        <f>HYPERLINK("https://www.boe.es/gazeta/dias/1819/06/08/pdfs/GMD-1819-68.pdf#page=6","Abrir facsímil")</f>
        <v>Abrir facsímil</v>
      </c>
      <c r="K2504" s="3" t="s">
        <v>67</v>
      </c>
    </row>
    <row r="2505" spans="1:11" ht="42" customHeight="1">
      <c r="A2505" s="2" t="s">
        <v>6139</v>
      </c>
      <c r="B2505" s="2" t="s">
        <v>6140</v>
      </c>
      <c r="C2505" s="2" t="s">
        <v>80</v>
      </c>
      <c r="D2505" s="2" t="s">
        <v>81</v>
      </c>
      <c r="E2505" s="5">
        <v>-29423</v>
      </c>
      <c r="F2505" s="3" t="s">
        <v>1205</v>
      </c>
      <c r="G2505" s="3" t="s">
        <v>38</v>
      </c>
      <c r="H2505" s="2" t="s">
        <v>65</v>
      </c>
      <c r="I2505" s="2" t="s">
        <v>6141</v>
      </c>
      <c r="J2505" s="3" t="str">
        <f>HYPERLINK("https://www.boe.es/gazeta/dias/1819/06/10/pdfs/GMD-1819-69.pdf#page=5","Abrir facsímil")</f>
        <v>Abrir facsímil</v>
      </c>
      <c r="K2505" s="3" t="s">
        <v>67</v>
      </c>
    </row>
    <row r="2506" spans="1:11" ht="42" customHeight="1">
      <c r="A2506" s="2" t="s">
        <v>6142</v>
      </c>
      <c r="B2506" s="2" t="s">
        <v>6143</v>
      </c>
      <c r="C2506" s="2" t="s">
        <v>80</v>
      </c>
      <c r="D2506" s="2" t="s">
        <v>81</v>
      </c>
      <c r="E2506" s="5">
        <v>-29276</v>
      </c>
      <c r="F2506" s="3" t="s">
        <v>54</v>
      </c>
      <c r="G2506" s="3" t="s">
        <v>1107</v>
      </c>
      <c r="H2506" s="2" t="s">
        <v>65</v>
      </c>
      <c r="I2506" s="2" t="s">
        <v>6144</v>
      </c>
      <c r="J2506" s="3" t="str">
        <f>HYPERLINK("https://www.boe.es/gazeta/dias/1819/11/04/pdfs/GMD-1819-136.pdf#page=5","Abrir facsímil")</f>
        <v>Abrir facsímil</v>
      </c>
      <c r="K2506" s="3" t="s">
        <v>67</v>
      </c>
    </row>
    <row r="2507" spans="1:11" ht="42" customHeight="1">
      <c r="A2507" s="2" t="s">
        <v>6145</v>
      </c>
      <c r="B2507" s="2" t="s">
        <v>6146</v>
      </c>
      <c r="C2507" s="2" t="s">
        <v>80</v>
      </c>
      <c r="D2507" s="2" t="s">
        <v>81</v>
      </c>
      <c r="E2507" s="5">
        <v>-29425</v>
      </c>
      <c r="F2507" s="3" t="s">
        <v>110</v>
      </c>
      <c r="G2507" s="3" t="s">
        <v>38</v>
      </c>
      <c r="H2507" s="2" t="s">
        <v>65</v>
      </c>
      <c r="I2507" s="2" t="s">
        <v>6147</v>
      </c>
      <c r="J2507" s="3" t="str">
        <f>HYPERLINK("https://www.boe.es/gazeta/dias/1819/06/08/pdfs/GMD-1819-68.pdf#page=5","Abrir facsímil")</f>
        <v>Abrir facsímil</v>
      </c>
      <c r="K2507" s="3" t="s">
        <v>67</v>
      </c>
    </row>
    <row r="2508" spans="1:11" ht="42" customHeight="1">
      <c r="A2508" s="2" t="s">
        <v>6148</v>
      </c>
      <c r="B2508" s="2" t="s">
        <v>6148</v>
      </c>
      <c r="C2508" s="2" t="s">
        <v>80</v>
      </c>
      <c r="D2508" s="2" t="s">
        <v>81</v>
      </c>
      <c r="E2508" s="5">
        <v>-29421</v>
      </c>
      <c r="F2508" s="3" t="s">
        <v>1972</v>
      </c>
      <c r="G2508" s="3" t="s">
        <v>55</v>
      </c>
      <c r="H2508" s="2" t="s">
        <v>65</v>
      </c>
      <c r="I2508" s="2" t="s">
        <v>6149</v>
      </c>
      <c r="J2508" s="3" t="str">
        <f>HYPERLINK("https://www.boe.es/gazeta/dias/1819/06/12/pdfs/GMD-1819-70.pdf#page=7","Abrir facsímil")</f>
        <v>Abrir facsímil</v>
      </c>
      <c r="K2508" s="3" t="s">
        <v>67</v>
      </c>
    </row>
    <row r="2509" spans="1:11" ht="42" customHeight="1">
      <c r="A2509" s="2" t="s">
        <v>6150</v>
      </c>
      <c r="B2509" s="2" t="s">
        <v>6151</v>
      </c>
      <c r="C2509" s="2" t="s">
        <v>26</v>
      </c>
      <c r="D2509" s="2" t="s">
        <v>18</v>
      </c>
      <c r="E2509" s="5">
        <v>-29220</v>
      </c>
      <c r="F2509" s="3" t="s">
        <v>397</v>
      </c>
      <c r="G2509" s="3" t="s">
        <v>28</v>
      </c>
      <c r="H2509" s="2" t="s">
        <v>65</v>
      </c>
      <c r="I2509" s="2" t="s">
        <v>6152</v>
      </c>
      <c r="J2509" s="3" t="str">
        <f>HYPERLINK("https://www.boe.es/gazeta/dias/1819/12/30/pdfs/GMD-1819-160.pdf#page=8","Abrir facsímil")</f>
        <v>Abrir facsímil</v>
      </c>
      <c r="K2509" s="3" t="s">
        <v>67</v>
      </c>
    </row>
    <row r="2510" spans="1:11" ht="42" customHeight="1">
      <c r="A2510" s="2" t="s">
        <v>6153</v>
      </c>
      <c r="B2510" s="2" t="s">
        <v>6154</v>
      </c>
      <c r="C2510" s="2" t="s">
        <v>17</v>
      </c>
      <c r="D2510" s="2" t="s">
        <v>18</v>
      </c>
      <c r="E2510" s="5">
        <v>-29516</v>
      </c>
      <c r="F2510" s="3" t="s">
        <v>137</v>
      </c>
      <c r="G2510" s="3" t="s">
        <v>138</v>
      </c>
      <c r="H2510" s="2" t="s">
        <v>65</v>
      </c>
      <c r="I2510" s="2" t="s">
        <v>6155</v>
      </c>
      <c r="J2510" s="3" t="str">
        <f>HYPERLINK("https://www.boe.es/gazeta/dias/1819/03/09/pdfs/GMD-1819-29.pdf#page=12","Abrir facsímil")</f>
        <v>Abrir facsímil</v>
      </c>
      <c r="K2510" s="3" t="s">
        <v>67</v>
      </c>
    </row>
    <row r="2511" spans="1:11" ht="42" customHeight="1">
      <c r="A2511" s="2" t="s">
        <v>6156</v>
      </c>
      <c r="B2511" s="2" t="s">
        <v>6157</v>
      </c>
      <c r="C2511" s="2" t="s">
        <v>136</v>
      </c>
      <c r="D2511" s="2" t="s">
        <v>18</v>
      </c>
      <c r="E2511" s="5">
        <v>-29274</v>
      </c>
      <c r="F2511" s="3" t="s">
        <v>247</v>
      </c>
      <c r="G2511" s="3" t="s">
        <v>55</v>
      </c>
      <c r="H2511" s="2" t="s">
        <v>65</v>
      </c>
      <c r="I2511" s="2" t="s">
        <v>6158</v>
      </c>
      <c r="J2511" s="3" t="str">
        <f>HYPERLINK("https://www.boe.es/gazeta/dias/1819/11/06/pdfs/GMD-1819-137.pdf#page=7","Abrir facsímil")</f>
        <v>Abrir facsímil</v>
      </c>
      <c r="K2511" s="3" t="s">
        <v>67</v>
      </c>
    </row>
    <row r="2512" spans="1:11" ht="42" customHeight="1">
      <c r="A2512" s="2" t="s">
        <v>6159</v>
      </c>
      <c r="B2512" s="2" t="s">
        <v>6160</v>
      </c>
      <c r="C2512" s="2" t="s">
        <v>26</v>
      </c>
      <c r="D2512" s="2" t="s">
        <v>18</v>
      </c>
      <c r="E2512" s="5">
        <v>-29346</v>
      </c>
      <c r="F2512" s="3" t="s">
        <v>718</v>
      </c>
      <c r="G2512" s="3" t="s">
        <v>28</v>
      </c>
      <c r="H2512" s="2" t="s">
        <v>65</v>
      </c>
      <c r="I2512" s="2" t="s">
        <v>6161</v>
      </c>
      <c r="J2512" s="3" t="str">
        <f>HYPERLINK("https://www.boe.es/gazeta/dias/1819/08/26/pdfs/GMD-1819-103.pdf#page=8","Abrir facsímil")</f>
        <v>Abrir facsímil</v>
      </c>
      <c r="K2512" s="3" t="s">
        <v>67</v>
      </c>
    </row>
    <row r="2513" spans="1:11" ht="42" customHeight="1">
      <c r="A2513" s="2" t="s">
        <v>6162</v>
      </c>
      <c r="B2513" s="2" t="s">
        <v>6163</v>
      </c>
      <c r="C2513" s="2" t="s">
        <v>80</v>
      </c>
      <c r="D2513" s="2" t="s">
        <v>81</v>
      </c>
      <c r="E2513" s="5">
        <v>-29421</v>
      </c>
      <c r="F2513" s="3" t="s">
        <v>1972</v>
      </c>
      <c r="G2513" s="3" t="s">
        <v>55</v>
      </c>
      <c r="H2513" s="2" t="s">
        <v>65</v>
      </c>
      <c r="I2513" s="2" t="s">
        <v>6164</v>
      </c>
      <c r="J2513" s="3" t="str">
        <f>HYPERLINK("https://www.boe.es/gazeta/dias/1819/06/12/pdfs/GMD-1819-70.pdf#page=7","Abrir facsímil")</f>
        <v>Abrir facsímil</v>
      </c>
      <c r="K2513" s="3" t="s">
        <v>67</v>
      </c>
    </row>
    <row r="2514" spans="1:11" ht="42" customHeight="1">
      <c r="A2514" s="2" t="s">
        <v>6165</v>
      </c>
      <c r="B2514" s="2" t="s">
        <v>6166</v>
      </c>
      <c r="C2514" s="2" t="s">
        <v>59</v>
      </c>
      <c r="D2514" s="2" t="s">
        <v>18</v>
      </c>
      <c r="E2514" s="5">
        <v>-29358</v>
      </c>
      <c r="F2514" s="3" t="s">
        <v>170</v>
      </c>
      <c r="G2514" s="3" t="s">
        <v>38</v>
      </c>
      <c r="H2514" s="2" t="s">
        <v>65</v>
      </c>
      <c r="I2514" s="2" t="s">
        <v>6167</v>
      </c>
      <c r="J2514" s="3" t="str">
        <f>HYPERLINK("https://www.boe.es/gazeta/dias/1819/08/14/pdfs/GMD-1819-98.pdf#page=5","Abrir facsímil")</f>
        <v>Abrir facsímil</v>
      </c>
      <c r="K2514" s="3" t="s">
        <v>67</v>
      </c>
    </row>
    <row r="2515" spans="1:11" ht="42" customHeight="1">
      <c r="A2515" s="2" t="s">
        <v>6168</v>
      </c>
      <c r="B2515" s="2" t="s">
        <v>6169</v>
      </c>
      <c r="C2515" s="2" t="s">
        <v>17</v>
      </c>
      <c r="D2515" s="2" t="s">
        <v>18</v>
      </c>
      <c r="E2515" s="5">
        <v>-29435</v>
      </c>
      <c r="F2515" s="3" t="s">
        <v>191</v>
      </c>
      <c r="G2515" s="3" t="s">
        <v>55</v>
      </c>
      <c r="H2515" s="2" t="s">
        <v>65</v>
      </c>
      <c r="I2515" s="2" t="s">
        <v>6170</v>
      </c>
      <c r="J2515" s="3" t="str">
        <f>HYPERLINK("https://www.boe.es/gazeta/dias/1819/05/29/pdfs/GMD-1819-64.pdf#page=7","Abrir facsímil")</f>
        <v>Abrir facsímil</v>
      </c>
      <c r="K2515" s="3" t="s">
        <v>67</v>
      </c>
    </row>
    <row r="2516" spans="1:11" ht="42" customHeight="1">
      <c r="A2516" s="2" t="s">
        <v>6171</v>
      </c>
      <c r="B2516" s="2" t="s">
        <v>6172</v>
      </c>
      <c r="C2516" s="2" t="s">
        <v>26</v>
      </c>
      <c r="D2516" s="2" t="s">
        <v>18</v>
      </c>
      <c r="E2516" s="5">
        <v>-29241</v>
      </c>
      <c r="F2516" s="3" t="s">
        <v>1382</v>
      </c>
      <c r="G2516" s="3" t="s">
        <v>33</v>
      </c>
      <c r="H2516" s="2" t="s">
        <v>65</v>
      </c>
      <c r="I2516" s="2" t="s">
        <v>6173</v>
      </c>
      <c r="J2516" s="3" t="str">
        <f>HYPERLINK("https://www.boe.es/gazeta/dias/1819/12/09/pdfs/GMD-1819-151.pdf#page=6","Abrir facsímil")</f>
        <v>Abrir facsímil</v>
      </c>
      <c r="K2516" s="3" t="s">
        <v>67</v>
      </c>
    </row>
    <row r="2517" spans="1:11" ht="42" customHeight="1">
      <c r="A2517" s="2" t="s">
        <v>6174</v>
      </c>
      <c r="B2517" s="2" t="s">
        <v>6175</v>
      </c>
      <c r="C2517" s="2" t="s">
        <v>80</v>
      </c>
      <c r="D2517" s="2" t="s">
        <v>81</v>
      </c>
      <c r="E2517" s="5">
        <v>-29488</v>
      </c>
      <c r="F2517" s="3" t="s">
        <v>27</v>
      </c>
      <c r="G2517" s="3" t="s">
        <v>55</v>
      </c>
      <c r="H2517" s="2" t="s">
        <v>65</v>
      </c>
      <c r="I2517" s="2" t="s">
        <v>6176</v>
      </c>
      <c r="J2517" s="3" t="str">
        <f>HYPERLINK("https://www.boe.es/gazeta/dias/1819/04/06/pdfs/GMD-1819-41.pdf#page=7","Abrir facsímil")</f>
        <v>Abrir facsímil</v>
      </c>
      <c r="K2517" s="3" t="s">
        <v>67</v>
      </c>
    </row>
    <row r="2518" spans="1:11" ht="42" customHeight="1">
      <c r="A2518" s="2" t="s">
        <v>6177</v>
      </c>
      <c r="B2518" s="2" t="s">
        <v>6178</v>
      </c>
      <c r="C2518" s="2" t="s">
        <v>59</v>
      </c>
      <c r="D2518" s="2" t="s">
        <v>18</v>
      </c>
      <c r="E2518" s="5">
        <v>-29449</v>
      </c>
      <c r="F2518" s="3" t="s">
        <v>771</v>
      </c>
      <c r="G2518" s="3" t="s">
        <v>33</v>
      </c>
      <c r="H2518" s="2" t="s">
        <v>65</v>
      </c>
      <c r="I2518" s="2" t="s">
        <v>6179</v>
      </c>
      <c r="J2518" s="3" t="str">
        <f>HYPERLINK("https://www.boe.es/gazeta/dias/1819/05/15/pdfs/GMD-1819-58.pdf#page=6","Abrir facsímil")</f>
        <v>Abrir facsímil</v>
      </c>
      <c r="K2518" s="3" t="s">
        <v>67</v>
      </c>
    </row>
    <row r="2519" spans="1:11" ht="42" customHeight="1">
      <c r="A2519" s="2" t="s">
        <v>6180</v>
      </c>
      <c r="B2519" s="2" t="s">
        <v>6181</v>
      </c>
      <c r="C2519" s="2" t="s">
        <v>59</v>
      </c>
      <c r="D2519" s="2" t="s">
        <v>18</v>
      </c>
      <c r="E2519" s="5">
        <v>-29393</v>
      </c>
      <c r="F2519" s="3" t="s">
        <v>536</v>
      </c>
      <c r="G2519" s="3" t="s">
        <v>6182</v>
      </c>
      <c r="H2519" s="2" t="s">
        <v>21</v>
      </c>
      <c r="I2519" s="2" t="s">
        <v>6183</v>
      </c>
      <c r="J2519" s="3" t="str">
        <f>HYPERLINK("https://www.boe.es/gazeta/dias/1819/07/10/pdfs/GMD-1819-83.pdf#page=6","Abrir facsímil")</f>
        <v>Abrir facsímil</v>
      </c>
      <c r="K2519" s="3" t="s">
        <v>23</v>
      </c>
    </row>
    <row r="2520" spans="1:11" ht="42" customHeight="1">
      <c r="A2520" s="2" t="s">
        <v>6184</v>
      </c>
      <c r="B2520" s="2" t="s">
        <v>6185</v>
      </c>
      <c r="C2520" s="2" t="s">
        <v>136</v>
      </c>
      <c r="D2520" s="2" t="s">
        <v>18</v>
      </c>
      <c r="E2520" s="5">
        <v>-29523</v>
      </c>
      <c r="F2520" s="3" t="s">
        <v>436</v>
      </c>
      <c r="G2520" s="3" t="s">
        <v>28</v>
      </c>
      <c r="H2520" s="2" t="s">
        <v>65</v>
      </c>
      <c r="I2520" s="2" t="s">
        <v>6186</v>
      </c>
      <c r="J2520" s="3" t="str">
        <f>HYPERLINK("https://www.boe.es/gazeta/dias/1819/03/02/pdfs/GMD-1819-26.pdf#page=8","Abrir facsímil")</f>
        <v>Abrir facsímil</v>
      </c>
      <c r="K2520" s="3" t="s">
        <v>67</v>
      </c>
    </row>
    <row r="2521" spans="1:11" ht="42" customHeight="1">
      <c r="A2521" s="2" t="s">
        <v>6187</v>
      </c>
      <c r="B2521" s="2" t="s">
        <v>6188</v>
      </c>
      <c r="C2521" s="2" t="s">
        <v>59</v>
      </c>
      <c r="D2521" s="2" t="s">
        <v>18</v>
      </c>
      <c r="E2521" s="5">
        <v>-29530</v>
      </c>
      <c r="F2521" s="3" t="s">
        <v>202</v>
      </c>
      <c r="G2521" s="3" t="s">
        <v>33</v>
      </c>
      <c r="H2521" s="2" t="s">
        <v>65</v>
      </c>
      <c r="I2521" s="2" t="s">
        <v>6189</v>
      </c>
      <c r="J2521" s="3" t="str">
        <f>HYPERLINK("https://www.boe.es/gazeta/dias/1819/02/23/pdfs/GMD-1819-23.pdf#page=6","Abrir facsímil")</f>
        <v>Abrir facsímil</v>
      </c>
      <c r="K2521" s="3" t="s">
        <v>67</v>
      </c>
    </row>
    <row r="2522" spans="1:11" ht="42" customHeight="1">
      <c r="A2522" s="2" t="s">
        <v>6190</v>
      </c>
      <c r="B2522" s="2" t="s">
        <v>6191</v>
      </c>
      <c r="C2522" s="2" t="s">
        <v>136</v>
      </c>
      <c r="D2522" s="2" t="s">
        <v>18</v>
      </c>
      <c r="E2522" s="5">
        <v>-29521</v>
      </c>
      <c r="F2522" s="3" t="s">
        <v>1002</v>
      </c>
      <c r="G2522" s="3" t="s">
        <v>55</v>
      </c>
      <c r="H2522" s="2" t="s">
        <v>65</v>
      </c>
      <c r="I2522" s="2" t="s">
        <v>6192</v>
      </c>
      <c r="J2522" s="3" t="str">
        <f>HYPERLINK("https://www.boe.es/gazeta/dias/1819/03/04/pdfs/GMD-1819-27.pdf#page=7","Abrir facsímil")</f>
        <v>Abrir facsímil</v>
      </c>
      <c r="K2522" s="3" t="s">
        <v>67</v>
      </c>
    </row>
    <row r="2523" spans="1:11" ht="42" customHeight="1">
      <c r="A2523" s="2" t="s">
        <v>6193</v>
      </c>
      <c r="B2523" s="2" t="s">
        <v>6194</v>
      </c>
      <c r="C2523" s="2" t="s">
        <v>80</v>
      </c>
      <c r="D2523" s="2" t="s">
        <v>81</v>
      </c>
      <c r="E2523" s="5">
        <v>-29320</v>
      </c>
      <c r="F2523" s="3" t="s">
        <v>690</v>
      </c>
      <c r="G2523" s="3" t="s">
        <v>28</v>
      </c>
      <c r="H2523" s="2" t="s">
        <v>65</v>
      </c>
      <c r="I2523" s="2" t="s">
        <v>6195</v>
      </c>
      <c r="J2523" s="3" t="str">
        <f>HYPERLINK("https://www.boe.es/gazeta/dias/1819/09/21/pdfs/GMD-1819-116.pdf#page=8","Abrir facsímil")</f>
        <v>Abrir facsímil</v>
      </c>
      <c r="K2523" s="3" t="s">
        <v>67</v>
      </c>
    </row>
    <row r="2524" spans="1:11" ht="42" customHeight="1">
      <c r="A2524" s="2" t="s">
        <v>6196</v>
      </c>
      <c r="B2524" s="2" t="s">
        <v>6196</v>
      </c>
      <c r="C2524" s="2" t="s">
        <v>63</v>
      </c>
      <c r="D2524" s="2" t="s">
        <v>43</v>
      </c>
      <c r="E2524" s="5">
        <v>-29495</v>
      </c>
      <c r="F2524" s="3" t="s">
        <v>992</v>
      </c>
      <c r="G2524" s="3" t="s">
        <v>239</v>
      </c>
      <c r="H2524" s="2" t="s">
        <v>65</v>
      </c>
      <c r="I2524" s="2" t="s">
        <v>6197</v>
      </c>
      <c r="J2524" s="3" t="str">
        <f>HYPERLINK("https://www.boe.es/gazeta/dias/1819/03/30/pdfs/GMD-1819-38.pdf#page=1","Abrir facsímil")</f>
        <v>Abrir facsímil</v>
      </c>
      <c r="K2524" s="3" t="s">
        <v>67</v>
      </c>
    </row>
    <row r="2525" spans="1:11" ht="42" customHeight="1">
      <c r="A2525" s="2" t="s">
        <v>6198</v>
      </c>
      <c r="B2525" s="2" t="s">
        <v>6198</v>
      </c>
      <c r="C2525" s="2" t="s">
        <v>63</v>
      </c>
      <c r="D2525" s="2" t="s">
        <v>43</v>
      </c>
      <c r="E2525" s="5">
        <v>-29325</v>
      </c>
      <c r="F2525" s="3" t="s">
        <v>174</v>
      </c>
      <c r="G2525" s="3" t="s">
        <v>239</v>
      </c>
      <c r="H2525" s="2" t="s">
        <v>65</v>
      </c>
      <c r="I2525" s="2" t="s">
        <v>6199</v>
      </c>
      <c r="J2525" s="3" t="str">
        <f>HYPERLINK("https://www.boe.es/gazeta/dias/1819/09/16/pdfs/GMD-1819-113.pdf#page=1","Abrir facsímil")</f>
        <v>Abrir facsímil</v>
      </c>
      <c r="K2525" s="3" t="s">
        <v>67</v>
      </c>
    </row>
    <row r="2526" spans="1:11" ht="42" customHeight="1">
      <c r="A2526" s="2" t="s">
        <v>6200</v>
      </c>
      <c r="B2526" s="2" t="s">
        <v>6200</v>
      </c>
      <c r="C2526" s="2" t="s">
        <v>59</v>
      </c>
      <c r="D2526" s="2" t="s">
        <v>18</v>
      </c>
      <c r="E2526" s="5">
        <v>-29495</v>
      </c>
      <c r="F2526" s="3" t="s">
        <v>992</v>
      </c>
      <c r="G2526" s="3" t="s">
        <v>239</v>
      </c>
      <c r="H2526" s="2" t="s">
        <v>65</v>
      </c>
      <c r="I2526" s="2" t="s">
        <v>6201</v>
      </c>
      <c r="J2526" s="3" t="str">
        <f>HYPERLINK("https://www.boe.es/gazeta/dias/1819/03/30/pdfs/GMD-1819-38.pdf#page=1","Abrir facsímil")</f>
        <v>Abrir facsímil</v>
      </c>
      <c r="K2526" s="3" t="s">
        <v>67</v>
      </c>
    </row>
    <row r="2527" spans="1:11" ht="42" customHeight="1">
      <c r="A2527" s="2" t="s">
        <v>6200</v>
      </c>
      <c r="B2527" s="2" t="s">
        <v>6200</v>
      </c>
      <c r="C2527" s="2" t="s">
        <v>63</v>
      </c>
      <c r="D2527" s="2" t="s">
        <v>43</v>
      </c>
      <c r="E2527" s="5">
        <v>-29311</v>
      </c>
      <c r="F2527" s="3" t="s">
        <v>678</v>
      </c>
      <c r="G2527" s="3" t="s">
        <v>259</v>
      </c>
      <c r="H2527" s="2" t="s">
        <v>65</v>
      </c>
      <c r="I2527" s="2" t="s">
        <v>6202</v>
      </c>
      <c r="J2527" s="3" t="str">
        <f>HYPERLINK("https://www.boe.es/gazeta/dias/1819/09/30/pdfs/GMD-1819-120.pdf#page=2","Abrir facsímil")</f>
        <v>Abrir facsímil</v>
      </c>
      <c r="K2527" s="3" t="s">
        <v>67</v>
      </c>
    </row>
    <row r="2528" spans="1:11" ht="42" customHeight="1">
      <c r="A2528" s="2" t="s">
        <v>6200</v>
      </c>
      <c r="B2528" s="2" t="s">
        <v>6200</v>
      </c>
      <c r="C2528" s="2" t="s">
        <v>80</v>
      </c>
      <c r="D2528" s="2" t="s">
        <v>81</v>
      </c>
      <c r="E2528" s="5">
        <v>-29253</v>
      </c>
      <c r="F2528" s="3" t="s">
        <v>242</v>
      </c>
      <c r="G2528" s="3" t="s">
        <v>259</v>
      </c>
      <c r="H2528" s="2" t="s">
        <v>65</v>
      </c>
      <c r="I2528" s="2" t="s">
        <v>6203</v>
      </c>
      <c r="J2528" s="3" t="str">
        <f>HYPERLINK("https://www.boe.es/gazeta/dias/1819/11/27/pdfs/GMD-1819-146.pdf#page=2","Abrir facsímil")</f>
        <v>Abrir facsímil</v>
      </c>
      <c r="K2528" s="3" t="s">
        <v>67</v>
      </c>
    </row>
    <row r="2529" spans="1:11" ht="42" customHeight="1">
      <c r="A2529" s="2" t="s">
        <v>6204</v>
      </c>
      <c r="B2529" s="2" t="s">
        <v>6205</v>
      </c>
      <c r="C2529" s="2" t="s">
        <v>26</v>
      </c>
      <c r="D2529" s="2" t="s">
        <v>18</v>
      </c>
      <c r="E2529" s="5">
        <v>-29542</v>
      </c>
      <c r="F2529" s="3" t="s">
        <v>607</v>
      </c>
      <c r="G2529" s="3" t="s">
        <v>138</v>
      </c>
      <c r="H2529" s="2" t="s">
        <v>21</v>
      </c>
      <c r="I2529" s="2" t="s">
        <v>6206</v>
      </c>
      <c r="J2529" s="3" t="str">
        <f>HYPERLINK("https://www.boe.es/gazeta/dias/1819/02/11/pdfs/GMD-1819-18.pdf#page=12","Abrir facsímil")</f>
        <v>Abrir facsímil</v>
      </c>
      <c r="K2529" s="3" t="s">
        <v>23</v>
      </c>
    </row>
    <row r="2530" spans="1:11" ht="42" customHeight="1">
      <c r="A2530" s="2" t="s">
        <v>6207</v>
      </c>
      <c r="B2530" s="2" t="s">
        <v>6207</v>
      </c>
      <c r="C2530" s="2" t="s">
        <v>63</v>
      </c>
      <c r="D2530" s="2" t="s">
        <v>43</v>
      </c>
      <c r="E2530" s="5">
        <v>-29281</v>
      </c>
      <c r="F2530" s="3" t="s">
        <v>19</v>
      </c>
      <c r="G2530" s="3" t="s">
        <v>55</v>
      </c>
      <c r="H2530" s="2" t="s">
        <v>65</v>
      </c>
      <c r="I2530" s="2" t="s">
        <v>6208</v>
      </c>
      <c r="J2530" s="3" t="str">
        <f>HYPERLINK("https://www.boe.es/gazeta/dias/1819/10/30/pdfs/GMD-1819-134.pdf#page=7","Abrir facsímil")</f>
        <v>Abrir facsímil</v>
      </c>
      <c r="K2530" s="3" t="s">
        <v>67</v>
      </c>
    </row>
    <row r="2531" spans="1:11" ht="42" customHeight="1">
      <c r="A2531" s="2" t="s">
        <v>6207</v>
      </c>
      <c r="B2531" s="2" t="s">
        <v>6207</v>
      </c>
      <c r="C2531" s="2" t="s">
        <v>80</v>
      </c>
      <c r="D2531" s="2" t="s">
        <v>81</v>
      </c>
      <c r="E2531" s="5">
        <v>-29248</v>
      </c>
      <c r="F2531" s="3" t="s">
        <v>395</v>
      </c>
      <c r="G2531" s="3" t="s">
        <v>1179</v>
      </c>
      <c r="H2531" s="2" t="s">
        <v>65</v>
      </c>
      <c r="I2531" s="2" t="s">
        <v>6209</v>
      </c>
      <c r="J2531" s="3" t="str">
        <f>HYPERLINK("https://www.boe.es/gazeta/dias/1819/12/02/pdfs/GMD-1819-148.pdf#page=10","Abrir facsímil")</f>
        <v>Abrir facsímil</v>
      </c>
      <c r="K2531" s="3" t="s">
        <v>67</v>
      </c>
    </row>
    <row r="2532" spans="1:11" ht="42" customHeight="1">
      <c r="A2532" s="2" t="s">
        <v>6210</v>
      </c>
      <c r="B2532" s="2" t="s">
        <v>6211</v>
      </c>
      <c r="C2532" s="2" t="s">
        <v>26</v>
      </c>
      <c r="D2532" s="2" t="s">
        <v>18</v>
      </c>
      <c r="E2532" s="5">
        <v>-29351</v>
      </c>
      <c r="F2532" s="3" t="s">
        <v>101</v>
      </c>
      <c r="G2532" s="3" t="s">
        <v>28</v>
      </c>
      <c r="H2532" s="2" t="s">
        <v>65</v>
      </c>
      <c r="I2532" s="2" t="s">
        <v>6212</v>
      </c>
      <c r="J2532" s="3" t="str">
        <f>HYPERLINK("https://www.boe.es/gazeta/dias/1819/08/21/pdfs/GMD-1819-101.pdf#page=8","Abrir facsímil")</f>
        <v>Abrir facsímil</v>
      </c>
      <c r="K2532" s="3" t="s">
        <v>67</v>
      </c>
    </row>
    <row r="2533" spans="1:11" ht="42" customHeight="1">
      <c r="A2533" s="2" t="s">
        <v>6213</v>
      </c>
      <c r="B2533" s="2" t="s">
        <v>6214</v>
      </c>
      <c r="C2533" s="2" t="s">
        <v>17</v>
      </c>
      <c r="D2533" s="2" t="s">
        <v>18</v>
      </c>
      <c r="E2533" s="5">
        <v>-29358</v>
      </c>
      <c r="F2533" s="3" t="s">
        <v>170</v>
      </c>
      <c r="G2533" s="3" t="s">
        <v>38</v>
      </c>
      <c r="H2533" s="2" t="s">
        <v>65</v>
      </c>
      <c r="I2533" s="2" t="s">
        <v>6215</v>
      </c>
      <c r="J2533" s="3" t="str">
        <f>HYPERLINK("https://www.boe.es/gazeta/dias/1819/08/14/pdfs/GMD-1819-98.pdf#page=5","Abrir facsímil")</f>
        <v>Abrir facsímil</v>
      </c>
      <c r="K2533" s="3" t="s">
        <v>67</v>
      </c>
    </row>
    <row r="2534" spans="1:11" ht="42" customHeight="1">
      <c r="A2534" s="2" t="s">
        <v>6216</v>
      </c>
      <c r="B2534" s="2" t="s">
        <v>6217</v>
      </c>
      <c r="C2534" s="2" t="s">
        <v>63</v>
      </c>
      <c r="D2534" s="2" t="s">
        <v>43</v>
      </c>
      <c r="E2534" s="5">
        <v>-29271</v>
      </c>
      <c r="F2534" s="3" t="s">
        <v>32</v>
      </c>
      <c r="G2534" s="3" t="s">
        <v>55</v>
      </c>
      <c r="H2534" s="2" t="s">
        <v>65</v>
      </c>
      <c r="I2534" s="2" t="s">
        <v>6218</v>
      </c>
      <c r="J2534" s="3" t="str">
        <f>HYPERLINK("https://www.boe.es/gazeta/dias/1819/11/09/pdfs/GMD-1819-138.pdf#page=7","Abrir facsímil")</f>
        <v>Abrir facsímil</v>
      </c>
      <c r="K2534" s="3" t="s">
        <v>67</v>
      </c>
    </row>
    <row r="2535" spans="1:11" ht="42" customHeight="1">
      <c r="A2535" s="2" t="s">
        <v>6219</v>
      </c>
      <c r="B2535" s="2" t="s">
        <v>6220</v>
      </c>
      <c r="C2535" s="2" t="s">
        <v>80</v>
      </c>
      <c r="D2535" s="2" t="s">
        <v>81</v>
      </c>
      <c r="E2535" s="5">
        <v>-29337</v>
      </c>
      <c r="F2535" s="3" t="s">
        <v>1098</v>
      </c>
      <c r="G2535" s="3" t="s">
        <v>28</v>
      </c>
      <c r="H2535" s="2" t="s">
        <v>65</v>
      </c>
      <c r="I2535" s="2" t="s">
        <v>6221</v>
      </c>
      <c r="J2535" s="3" t="str">
        <f>HYPERLINK("https://www.boe.es/gazeta/dias/1819/09/04/pdfs/GMD-1819-108.pdf#page=8","Abrir facsímil")</f>
        <v>Abrir facsímil</v>
      </c>
      <c r="K2535" s="3" t="s">
        <v>67</v>
      </c>
    </row>
    <row r="2536" spans="1:11" ht="42" customHeight="1">
      <c r="A2536" s="2" t="s">
        <v>6222</v>
      </c>
      <c r="B2536" s="2" t="s">
        <v>6223</v>
      </c>
      <c r="C2536" s="2" t="s">
        <v>59</v>
      </c>
      <c r="D2536" s="2" t="s">
        <v>18</v>
      </c>
      <c r="E2536" s="5">
        <v>-29236</v>
      </c>
      <c r="F2536" s="3" t="s">
        <v>379</v>
      </c>
      <c r="G2536" s="3" t="s">
        <v>28</v>
      </c>
      <c r="H2536" s="2" t="s">
        <v>21</v>
      </c>
      <c r="I2536" s="2" t="s">
        <v>6224</v>
      </c>
      <c r="J2536" s="3" t="str">
        <f>HYPERLINK("https://www.boe.es/gazeta/dias/1819/12/14/pdfs/GMD-1819-153.pdf#page=8","Abrir facsímil")</f>
        <v>Abrir facsímil</v>
      </c>
      <c r="K2536" s="3" t="s">
        <v>23</v>
      </c>
    </row>
    <row r="2537" spans="1:11" ht="42" customHeight="1">
      <c r="A2537" s="2" t="s">
        <v>6225</v>
      </c>
      <c r="B2537" s="2" t="s">
        <v>6225</v>
      </c>
      <c r="C2537" s="2" t="s">
        <v>59</v>
      </c>
      <c r="D2537" s="2" t="s">
        <v>18</v>
      </c>
      <c r="E2537" s="5">
        <v>-29463</v>
      </c>
      <c r="F2537" s="3" t="s">
        <v>114</v>
      </c>
      <c r="G2537" s="3" t="s">
        <v>33</v>
      </c>
      <c r="H2537" s="2" t="s">
        <v>65</v>
      </c>
      <c r="I2537" s="2" t="s">
        <v>6226</v>
      </c>
      <c r="J2537" s="3" t="str">
        <f>HYPERLINK("https://www.boe.es/gazeta/dias/1819/05/01/pdfs/GMD-1819-52.pdf#page=6","Abrir facsímil")</f>
        <v>Abrir facsímil</v>
      </c>
      <c r="K2537" s="3" t="s">
        <v>67</v>
      </c>
    </row>
    <row r="2538" spans="1:11" ht="42" customHeight="1">
      <c r="A2538" s="2" t="s">
        <v>6227</v>
      </c>
      <c r="B2538" s="2" t="s">
        <v>6227</v>
      </c>
      <c r="C2538" s="2" t="s">
        <v>59</v>
      </c>
      <c r="D2538" s="2" t="s">
        <v>18</v>
      </c>
      <c r="E2538" s="5">
        <v>-29248</v>
      </c>
      <c r="F2538" s="3" t="s">
        <v>395</v>
      </c>
      <c r="G2538" s="3" t="s">
        <v>94</v>
      </c>
      <c r="H2538" s="2" t="s">
        <v>65</v>
      </c>
      <c r="I2538" s="2" t="s">
        <v>6228</v>
      </c>
      <c r="J2538" s="3" t="str">
        <f>HYPERLINK("https://www.boe.es/gazeta/dias/1819/12/02/pdfs/GMD-1819-148.pdf#page=11","Abrir facsímil")</f>
        <v>Abrir facsímil</v>
      </c>
      <c r="K2538" s="3" t="s">
        <v>67</v>
      </c>
    </row>
    <row r="2539" spans="1:11" ht="42" customHeight="1">
      <c r="A2539" s="2" t="s">
        <v>6229</v>
      </c>
      <c r="B2539" s="2" t="s">
        <v>6229</v>
      </c>
      <c r="C2539" s="2" t="s">
        <v>80</v>
      </c>
      <c r="D2539" s="2" t="s">
        <v>81</v>
      </c>
      <c r="E2539" s="5">
        <v>-29579</v>
      </c>
      <c r="F2539" s="3" t="s">
        <v>186</v>
      </c>
      <c r="G2539" s="3" t="s">
        <v>102</v>
      </c>
      <c r="H2539" s="2" t="s">
        <v>65</v>
      </c>
      <c r="I2539" s="2" t="s">
        <v>6230</v>
      </c>
      <c r="J2539" s="3" t="str">
        <f>HYPERLINK("https://www.boe.es/gazeta/dias/1819/01/05/pdfs/GMD-1819-2.pdf#page=3","Abrir facsímil")</f>
        <v>Abrir facsímil</v>
      </c>
      <c r="K2539" s="3" t="s">
        <v>67</v>
      </c>
    </row>
    <row r="2540" spans="1:11" ht="42" customHeight="1">
      <c r="A2540" s="2" t="s">
        <v>6229</v>
      </c>
      <c r="B2540" s="2" t="s">
        <v>6229</v>
      </c>
      <c r="C2540" s="2" t="s">
        <v>246</v>
      </c>
      <c r="D2540" s="2" t="s">
        <v>18</v>
      </c>
      <c r="E2540" s="5">
        <v>-29558</v>
      </c>
      <c r="F2540" s="3" t="s">
        <v>1463</v>
      </c>
      <c r="G2540" s="3" t="s">
        <v>296</v>
      </c>
      <c r="H2540" s="2" t="s">
        <v>65</v>
      </c>
      <c r="I2540" s="2" t="s">
        <v>6231</v>
      </c>
      <c r="J2540" s="3" t="str">
        <f>HYPERLINK("https://www.boe.es/gazeta/dias/1819/01/26/pdfs/GMD-1819-11.pdf#page=4","Abrir facsímil")</f>
        <v>Abrir facsímil</v>
      </c>
      <c r="K2540" s="3" t="s">
        <v>67</v>
      </c>
    </row>
    <row r="2541" spans="1:11" ht="42" customHeight="1">
      <c r="A2541" s="2" t="s">
        <v>6229</v>
      </c>
      <c r="B2541" s="2" t="s">
        <v>6229</v>
      </c>
      <c r="C2541" s="2" t="s">
        <v>80</v>
      </c>
      <c r="D2541" s="2" t="s">
        <v>81</v>
      </c>
      <c r="E2541" s="5">
        <v>-29514</v>
      </c>
      <c r="F2541" s="3" t="s">
        <v>595</v>
      </c>
      <c r="G2541" s="3" t="s">
        <v>296</v>
      </c>
      <c r="H2541" s="2" t="s">
        <v>65</v>
      </c>
      <c r="I2541" s="2" t="s">
        <v>6232</v>
      </c>
      <c r="J2541" s="3" t="str">
        <f>HYPERLINK("https://www.boe.es/gazeta/dias/1819/03/11/pdfs/GMD-1819-30.pdf#page=4","Abrir facsímil")</f>
        <v>Abrir facsímil</v>
      </c>
      <c r="K2541" s="3" t="s">
        <v>67</v>
      </c>
    </row>
    <row r="2542" spans="1:11" ht="42" customHeight="1">
      <c r="A2542" s="2" t="s">
        <v>6229</v>
      </c>
      <c r="B2542" s="2" t="s">
        <v>6229</v>
      </c>
      <c r="C2542" s="2" t="s">
        <v>80</v>
      </c>
      <c r="D2542" s="2" t="s">
        <v>81</v>
      </c>
      <c r="E2542" s="5">
        <v>-29463</v>
      </c>
      <c r="F2542" s="3" t="s">
        <v>114</v>
      </c>
      <c r="G2542" s="3" t="s">
        <v>38</v>
      </c>
      <c r="H2542" s="2" t="s">
        <v>65</v>
      </c>
      <c r="I2542" s="2" t="s">
        <v>6233</v>
      </c>
      <c r="J2542" s="3" t="str">
        <f>HYPERLINK("https://www.boe.es/gazeta/dias/1819/05/01/pdfs/GMD-1819-52.pdf#page=5","Abrir facsímil")</f>
        <v>Abrir facsímil</v>
      </c>
      <c r="K2542" s="3" t="s">
        <v>67</v>
      </c>
    </row>
    <row r="2543" spans="1:11" ht="42" customHeight="1">
      <c r="A2543" s="2" t="s">
        <v>6229</v>
      </c>
      <c r="B2543" s="2" t="s">
        <v>6229</v>
      </c>
      <c r="C2543" s="2" t="s">
        <v>246</v>
      </c>
      <c r="D2543" s="2" t="s">
        <v>18</v>
      </c>
      <c r="E2543" s="5">
        <v>-29460</v>
      </c>
      <c r="F2543" s="3" t="s">
        <v>1534</v>
      </c>
      <c r="G2543" s="3" t="s">
        <v>239</v>
      </c>
      <c r="H2543" s="2" t="s">
        <v>65</v>
      </c>
      <c r="I2543" s="2" t="s">
        <v>6234</v>
      </c>
      <c r="J2543" s="3" t="str">
        <f>HYPERLINK("https://www.boe.es/gazeta/dias/1819/05/04/pdfs/GMD-1819-53.pdf#page=1","Abrir facsímil")</f>
        <v>Abrir facsímil</v>
      </c>
      <c r="K2543" s="3" t="s">
        <v>67</v>
      </c>
    </row>
    <row r="2544" spans="1:11" ht="42" customHeight="1">
      <c r="A2544" s="2" t="s">
        <v>6229</v>
      </c>
      <c r="B2544" s="2" t="s">
        <v>6229</v>
      </c>
      <c r="C2544" s="2" t="s">
        <v>59</v>
      </c>
      <c r="D2544" s="2" t="s">
        <v>18</v>
      </c>
      <c r="E2544" s="5">
        <v>-29390</v>
      </c>
      <c r="F2544" s="3" t="s">
        <v>263</v>
      </c>
      <c r="G2544" s="3" t="s">
        <v>259</v>
      </c>
      <c r="H2544" s="2" t="s">
        <v>65</v>
      </c>
      <c r="I2544" s="2" t="s">
        <v>6235</v>
      </c>
      <c r="J2544" s="3" t="str">
        <f>HYPERLINK("https://www.boe.es/gazeta/dias/1819/07/13/pdfs/GMD-1819-84.pdf#page=2","Abrir facsímil")</f>
        <v>Abrir facsímil</v>
      </c>
      <c r="K2544" s="3" t="s">
        <v>67</v>
      </c>
    </row>
    <row r="2545" spans="1:11" ht="42" customHeight="1">
      <c r="A2545" s="2" t="s">
        <v>6229</v>
      </c>
      <c r="B2545" s="2" t="s">
        <v>6229</v>
      </c>
      <c r="C2545" s="2" t="s">
        <v>59</v>
      </c>
      <c r="D2545" s="2" t="s">
        <v>18</v>
      </c>
      <c r="E2545" s="5">
        <v>-29260</v>
      </c>
      <c r="F2545" s="3" t="s">
        <v>93</v>
      </c>
      <c r="G2545" s="3" t="s">
        <v>94</v>
      </c>
      <c r="H2545" s="2" t="s">
        <v>65</v>
      </c>
      <c r="I2545" s="2" t="s">
        <v>6236</v>
      </c>
      <c r="J2545" s="3" t="str">
        <f>HYPERLINK("https://www.boe.es/gazeta/dias/1819/11/20/pdfs/GMD-1819-143.pdf#page=11","Abrir facsímil")</f>
        <v>Abrir facsímil</v>
      </c>
      <c r="K2545" s="3" t="s">
        <v>67</v>
      </c>
    </row>
    <row r="2546" spans="1:11" ht="42" customHeight="1">
      <c r="A2546" s="2" t="s">
        <v>6237</v>
      </c>
      <c r="B2546" s="2" t="s">
        <v>6238</v>
      </c>
      <c r="C2546" s="2" t="s">
        <v>59</v>
      </c>
      <c r="D2546" s="2" t="s">
        <v>18</v>
      </c>
      <c r="E2546" s="5">
        <v>-29542</v>
      </c>
      <c r="F2546" s="3" t="s">
        <v>607</v>
      </c>
      <c r="G2546" s="3" t="s">
        <v>38</v>
      </c>
      <c r="H2546" s="2" t="s">
        <v>65</v>
      </c>
      <c r="I2546" s="2" t="s">
        <v>6239</v>
      </c>
      <c r="J2546" s="3" t="str">
        <f>HYPERLINK("https://www.boe.es/gazeta/dias/1819/02/11/pdfs/GMD-1819-18.pdf#page=5","Abrir facsímil")</f>
        <v>Abrir facsímil</v>
      </c>
      <c r="K2546" s="3" t="s">
        <v>67</v>
      </c>
    </row>
    <row r="2547" spans="1:11" ht="42" customHeight="1">
      <c r="A2547" s="2" t="s">
        <v>6240</v>
      </c>
      <c r="B2547" s="2" t="s">
        <v>6241</v>
      </c>
      <c r="C2547" s="2" t="s">
        <v>80</v>
      </c>
      <c r="D2547" s="2" t="s">
        <v>81</v>
      </c>
      <c r="E2547" s="5">
        <v>-29498</v>
      </c>
      <c r="F2547" s="3" t="s">
        <v>119</v>
      </c>
      <c r="G2547" s="3" t="s">
        <v>6242</v>
      </c>
      <c r="H2547" s="2" t="s">
        <v>65</v>
      </c>
      <c r="I2547" s="2" t="s">
        <v>6243</v>
      </c>
      <c r="J2547" s="3" t="str">
        <f>HYPERLINK("https://www.boe.es/gazeta/dias/1819/03/27/pdfs/GMD-1819-37.pdf#page=7","Abrir facsímil")</f>
        <v>Abrir facsímil</v>
      </c>
      <c r="K2547" s="3" t="s">
        <v>67</v>
      </c>
    </row>
    <row r="2548" spans="1:11" ht="42" customHeight="1">
      <c r="A2548" s="2" t="s">
        <v>6244</v>
      </c>
      <c r="B2548" s="2" t="s">
        <v>6244</v>
      </c>
      <c r="C2548" s="2" t="s">
        <v>80</v>
      </c>
      <c r="D2548" s="2" t="s">
        <v>81</v>
      </c>
      <c r="E2548" s="5">
        <v>-29488</v>
      </c>
      <c r="F2548" s="3" t="s">
        <v>27</v>
      </c>
      <c r="G2548" s="3" t="s">
        <v>102</v>
      </c>
      <c r="H2548" s="2" t="s">
        <v>65</v>
      </c>
      <c r="I2548" s="2" t="s">
        <v>6245</v>
      </c>
      <c r="J2548" s="3" t="str">
        <f>HYPERLINK("https://www.boe.es/gazeta/dias/1819/04/06/pdfs/GMD-1819-41.pdf#page=3","Abrir facsímil")</f>
        <v>Abrir facsímil</v>
      </c>
      <c r="K2548" s="3" t="s">
        <v>67</v>
      </c>
    </row>
    <row r="2549" spans="1:11" ht="42" customHeight="1">
      <c r="A2549" s="2" t="s">
        <v>6246</v>
      </c>
      <c r="B2549" s="2" t="s">
        <v>6246</v>
      </c>
      <c r="C2549" s="2" t="s">
        <v>63</v>
      </c>
      <c r="D2549" s="2" t="s">
        <v>43</v>
      </c>
      <c r="E2549" s="5">
        <v>-29514</v>
      </c>
      <c r="F2549" s="3" t="s">
        <v>595</v>
      </c>
      <c r="G2549" s="3" t="s">
        <v>102</v>
      </c>
      <c r="H2549" s="2" t="s">
        <v>65</v>
      </c>
      <c r="I2549" s="2" t="s">
        <v>6247</v>
      </c>
      <c r="J2549" s="3" t="str">
        <f>HYPERLINK("https://www.boe.es/gazeta/dias/1819/03/11/pdfs/GMD-1819-30.pdf#page=3","Abrir facsímil")</f>
        <v>Abrir facsímil</v>
      </c>
      <c r="K2549" s="3" t="s">
        <v>67</v>
      </c>
    </row>
    <row r="2550" spans="1:11" ht="42" customHeight="1">
      <c r="A2550" s="2" t="s">
        <v>6248</v>
      </c>
      <c r="B2550" s="2" t="s">
        <v>6248</v>
      </c>
      <c r="C2550" s="2" t="s">
        <v>59</v>
      </c>
      <c r="D2550" s="2" t="s">
        <v>18</v>
      </c>
      <c r="E2550" s="5">
        <v>-29519</v>
      </c>
      <c r="F2550" s="3" t="s">
        <v>142</v>
      </c>
      <c r="G2550" s="3" t="s">
        <v>28</v>
      </c>
      <c r="H2550" s="2" t="s">
        <v>65</v>
      </c>
      <c r="I2550" s="2" t="s">
        <v>6249</v>
      </c>
      <c r="J2550" s="3" t="str">
        <f>HYPERLINK("https://www.boe.es/gazeta/dias/1819/03/06/pdfs/GMD-1819-28.pdf#page=8","Abrir facsímil")</f>
        <v>Abrir facsímil</v>
      </c>
      <c r="K2550" s="3" t="s">
        <v>67</v>
      </c>
    </row>
    <row r="2551" spans="1:11" ht="42" customHeight="1">
      <c r="A2551" s="2" t="s">
        <v>6250</v>
      </c>
      <c r="B2551" s="2" t="s">
        <v>6250</v>
      </c>
      <c r="C2551" s="2" t="s">
        <v>63</v>
      </c>
      <c r="D2551" s="2" t="s">
        <v>43</v>
      </c>
      <c r="E2551" s="5">
        <v>-29477</v>
      </c>
      <c r="F2551" s="3" t="s">
        <v>789</v>
      </c>
      <c r="G2551" s="3" t="s">
        <v>102</v>
      </c>
      <c r="H2551" s="2" t="s">
        <v>65</v>
      </c>
      <c r="I2551" s="2" t="s">
        <v>6251</v>
      </c>
      <c r="J2551" s="3" t="str">
        <f>HYPERLINK("https://www.boe.es/gazeta/dias/1819/04/17/pdfs/GMD-1819-46.pdf#page=3","Abrir facsímil")</f>
        <v>Abrir facsímil</v>
      </c>
      <c r="K2551" s="3" t="s">
        <v>67</v>
      </c>
    </row>
    <row r="2552" spans="1:11" ht="42" customHeight="1">
      <c r="A2552" s="2" t="s">
        <v>6252</v>
      </c>
      <c r="B2552" s="2" t="s">
        <v>6253</v>
      </c>
      <c r="C2552" s="2" t="s">
        <v>17</v>
      </c>
      <c r="D2552" s="2" t="s">
        <v>18</v>
      </c>
      <c r="E2552" s="5">
        <v>-29264</v>
      </c>
      <c r="F2552" s="3" t="s">
        <v>37</v>
      </c>
      <c r="G2552" s="3" t="s">
        <v>138</v>
      </c>
      <c r="H2552" s="2" t="s">
        <v>65</v>
      </c>
      <c r="I2552" s="2" t="s">
        <v>6254</v>
      </c>
      <c r="J2552" s="3" t="str">
        <f>HYPERLINK("https://www.boe.es/gazeta/dias/1819/11/16/pdfs/GMD-1819-141.pdf#page=12","Abrir facsímil")</f>
        <v>Abrir facsímil</v>
      </c>
      <c r="K2552" s="3" t="s">
        <v>67</v>
      </c>
    </row>
    <row r="2553" spans="1:11" ht="42" customHeight="1">
      <c r="A2553" s="2" t="s">
        <v>6255</v>
      </c>
      <c r="B2553" s="2" t="s">
        <v>6256</v>
      </c>
      <c r="C2553" s="2" t="s">
        <v>80</v>
      </c>
      <c r="D2553" s="2" t="s">
        <v>81</v>
      </c>
      <c r="E2553" s="5">
        <v>-29390</v>
      </c>
      <c r="F2553" s="3" t="s">
        <v>263</v>
      </c>
      <c r="G2553" s="3" t="s">
        <v>55</v>
      </c>
      <c r="H2553" s="2" t="s">
        <v>65</v>
      </c>
      <c r="I2553" s="2" t="s">
        <v>6257</v>
      </c>
      <c r="J2553" s="3" t="str">
        <f>HYPERLINK("https://www.boe.es/gazeta/dias/1819/07/13/pdfs/GMD-1819-84.pdf#page=7","Abrir facsímil")</f>
        <v>Abrir facsímil</v>
      </c>
      <c r="K2553" s="3" t="s">
        <v>67</v>
      </c>
    </row>
    <row r="2554" spans="1:11" ht="42" customHeight="1">
      <c r="A2554" s="2" t="s">
        <v>6258</v>
      </c>
      <c r="B2554" s="2" t="s">
        <v>6258</v>
      </c>
      <c r="C2554" s="2" t="s">
        <v>63</v>
      </c>
      <c r="D2554" s="2" t="s">
        <v>43</v>
      </c>
      <c r="E2554" s="5">
        <v>-29512</v>
      </c>
      <c r="F2554" s="3" t="s">
        <v>741</v>
      </c>
      <c r="G2554" s="3" t="s">
        <v>55</v>
      </c>
      <c r="H2554" s="2" t="s">
        <v>65</v>
      </c>
      <c r="I2554" s="2" t="s">
        <v>6259</v>
      </c>
      <c r="J2554" s="3" t="str">
        <f>HYPERLINK("https://www.boe.es/gazeta/dias/1819/03/13/pdfs/GMD-1819-31.pdf#page=7","Abrir facsímil")</f>
        <v>Abrir facsímil</v>
      </c>
      <c r="K2554" s="3" t="s">
        <v>67</v>
      </c>
    </row>
    <row r="2555" spans="1:11" ht="42" customHeight="1">
      <c r="A2555" s="2" t="s">
        <v>6260</v>
      </c>
      <c r="B2555" s="2" t="s">
        <v>6261</v>
      </c>
      <c r="C2555" s="2" t="s">
        <v>80</v>
      </c>
      <c r="D2555" s="2" t="s">
        <v>81</v>
      </c>
      <c r="E2555" s="5">
        <v>-29530</v>
      </c>
      <c r="F2555" s="3" t="s">
        <v>202</v>
      </c>
      <c r="G2555" s="3" t="s">
        <v>55</v>
      </c>
      <c r="H2555" s="2" t="s">
        <v>65</v>
      </c>
      <c r="I2555" s="2" t="s">
        <v>6262</v>
      </c>
      <c r="J2555" s="3" t="str">
        <f>HYPERLINK("https://www.boe.es/gazeta/dias/1819/02/23/pdfs/GMD-1819-23.pdf#page=7","Abrir facsímil")</f>
        <v>Abrir facsímil</v>
      </c>
      <c r="K2555" s="3" t="s">
        <v>67</v>
      </c>
    </row>
    <row r="2556" spans="1:11" ht="42" customHeight="1">
      <c r="A2556" s="2" t="s">
        <v>6263</v>
      </c>
      <c r="B2556" s="2" t="s">
        <v>6264</v>
      </c>
      <c r="C2556" s="2" t="s">
        <v>215</v>
      </c>
      <c r="D2556" s="2" t="s">
        <v>18</v>
      </c>
      <c r="E2556" s="5">
        <v>-29442</v>
      </c>
      <c r="F2556" s="3" t="s">
        <v>427</v>
      </c>
      <c r="G2556" s="3" t="s">
        <v>28</v>
      </c>
      <c r="H2556" s="2" t="s">
        <v>65</v>
      </c>
      <c r="I2556" s="2" t="s">
        <v>6265</v>
      </c>
      <c r="J2556" s="3" t="str">
        <f>HYPERLINK("https://www.boe.es/gazeta/dias/1819/05/22/pdfs/GMD-1819-61.pdf#page=8","Abrir facsímil")</f>
        <v>Abrir facsímil</v>
      </c>
      <c r="K2556" s="3" t="s">
        <v>67</v>
      </c>
    </row>
    <row r="2557" spans="1:11" ht="42" customHeight="1">
      <c r="A2557" s="2" t="s">
        <v>6266</v>
      </c>
      <c r="B2557" s="2" t="s">
        <v>6267</v>
      </c>
      <c r="C2557" s="2" t="s">
        <v>63</v>
      </c>
      <c r="D2557" s="2" t="s">
        <v>43</v>
      </c>
      <c r="E2557" s="5">
        <v>-29281</v>
      </c>
      <c r="F2557" s="3" t="s">
        <v>19</v>
      </c>
      <c r="G2557" s="3" t="s">
        <v>456</v>
      </c>
      <c r="H2557" s="2" t="s">
        <v>65</v>
      </c>
      <c r="I2557" s="2" t="s">
        <v>6268</v>
      </c>
      <c r="J2557" s="3" t="str">
        <f>HYPERLINK("https://www.boe.es/gazeta/dias/1819/10/30/pdfs/GMD-1819-134.pdf#page=9","Abrir facsímil")</f>
        <v>Abrir facsímil</v>
      </c>
      <c r="K2557" s="3" t="s">
        <v>67</v>
      </c>
    </row>
    <row r="2558" spans="1:11" ht="42" customHeight="1">
      <c r="A2558" s="2" t="s">
        <v>6269</v>
      </c>
      <c r="B2558" s="2" t="s">
        <v>6269</v>
      </c>
      <c r="C2558" s="2" t="s">
        <v>80</v>
      </c>
      <c r="D2558" s="2" t="s">
        <v>81</v>
      </c>
      <c r="E2558" s="5">
        <v>-29577</v>
      </c>
      <c r="F2558" s="3" t="s">
        <v>1008</v>
      </c>
      <c r="G2558" s="3" t="s">
        <v>239</v>
      </c>
      <c r="H2558" s="2" t="s">
        <v>65</v>
      </c>
      <c r="I2558" s="2" t="s">
        <v>6270</v>
      </c>
      <c r="J2558" s="3" t="str">
        <f>HYPERLINK("https://www.boe.es/gazeta/dias/1819/01/07/pdfs/GMD-1819-3.pdf#page=1","Abrir facsímil")</f>
        <v>Abrir facsímil</v>
      </c>
      <c r="K2558" s="3" t="s">
        <v>67</v>
      </c>
    </row>
    <row r="2559" spans="1:11" ht="42" customHeight="1">
      <c r="A2559" s="2" t="s">
        <v>6271</v>
      </c>
      <c r="B2559" s="2" t="s">
        <v>6272</v>
      </c>
      <c r="C2559" s="2" t="s">
        <v>80</v>
      </c>
      <c r="D2559" s="2" t="s">
        <v>81</v>
      </c>
      <c r="E2559" s="5">
        <v>-29414</v>
      </c>
      <c r="F2559" s="3" t="s">
        <v>732</v>
      </c>
      <c r="G2559" s="3" t="s">
        <v>239</v>
      </c>
      <c r="H2559" s="2" t="s">
        <v>21</v>
      </c>
      <c r="I2559" s="2" t="s">
        <v>6273</v>
      </c>
      <c r="J2559" s="3" t="str">
        <f>HYPERLINK("https://www.boe.es/gazeta/dias/1819/06/19/pdfs/GMD-1819-74.pdf#page=1","Abrir facsímil")</f>
        <v>Abrir facsímil</v>
      </c>
      <c r="K2559" s="3" t="s">
        <v>23</v>
      </c>
    </row>
    <row r="2560" spans="1:11" ht="42" customHeight="1">
      <c r="A2560" s="2" t="s">
        <v>6274</v>
      </c>
      <c r="B2560" s="2" t="s">
        <v>6275</v>
      </c>
      <c r="C2560" s="2" t="s">
        <v>80</v>
      </c>
      <c r="D2560" s="2" t="s">
        <v>454</v>
      </c>
      <c r="E2560" s="5">
        <v>-29287</v>
      </c>
      <c r="F2560" s="3" t="s">
        <v>455</v>
      </c>
      <c r="G2560" s="3" t="s">
        <v>456</v>
      </c>
      <c r="H2560" s="2" t="s">
        <v>65</v>
      </c>
      <c r="I2560" s="2" t="s">
        <v>6276</v>
      </c>
      <c r="J2560" s="3" t="str">
        <f>HYPERLINK("https://www.boe.es/gazeta/dias/1819/10/24/pdfs/GMD-1819-131E.pdf#page=9","Abrir facsímil")</f>
        <v>Abrir facsímil</v>
      </c>
      <c r="K2560" s="3" t="s">
        <v>67</v>
      </c>
    </row>
    <row r="2561" spans="1:11" ht="42" customHeight="1">
      <c r="A2561" s="2" t="s">
        <v>6277</v>
      </c>
      <c r="B2561" s="2" t="s">
        <v>6277</v>
      </c>
      <c r="C2561" s="2" t="s">
        <v>80</v>
      </c>
      <c r="D2561" s="2" t="s">
        <v>81</v>
      </c>
      <c r="E2561" s="5">
        <v>-29570</v>
      </c>
      <c r="F2561" s="3" t="s">
        <v>2008</v>
      </c>
      <c r="G2561" s="3" t="s">
        <v>38</v>
      </c>
      <c r="H2561" s="2" t="s">
        <v>65</v>
      </c>
      <c r="I2561" s="2" t="s">
        <v>6278</v>
      </c>
      <c r="J2561" s="3" t="str">
        <f>HYPERLINK("https://www.boe.es/gazeta/dias/1819/01/14/pdfs/GMD-1819-6.pdf#page=5","Abrir facsímil")</f>
        <v>Abrir facsímil</v>
      </c>
      <c r="K2561" s="3" t="s">
        <v>67</v>
      </c>
    </row>
    <row r="2562" spans="1:11" ht="42" customHeight="1">
      <c r="A2562" s="2" t="s">
        <v>6279</v>
      </c>
      <c r="B2562" s="2" t="s">
        <v>6280</v>
      </c>
      <c r="C2562" s="2" t="s">
        <v>59</v>
      </c>
      <c r="D2562" s="2" t="s">
        <v>18</v>
      </c>
      <c r="E2562" s="5">
        <v>-29358</v>
      </c>
      <c r="F2562" s="3" t="s">
        <v>170</v>
      </c>
      <c r="G2562" s="3" t="s">
        <v>38</v>
      </c>
      <c r="H2562" s="2" t="s">
        <v>65</v>
      </c>
      <c r="I2562" s="2" t="s">
        <v>6281</v>
      </c>
      <c r="J2562" s="3" t="str">
        <f>HYPERLINK("https://www.boe.es/gazeta/dias/1819/08/14/pdfs/GMD-1819-98.pdf#page=5","Abrir facsímil")</f>
        <v>Abrir facsímil</v>
      </c>
      <c r="K2562" s="3" t="s">
        <v>67</v>
      </c>
    </row>
    <row r="2563" spans="1:11" ht="42" customHeight="1">
      <c r="A2563" s="2" t="s">
        <v>6282</v>
      </c>
      <c r="B2563" s="2" t="s">
        <v>6283</v>
      </c>
      <c r="C2563" s="2" t="s">
        <v>59</v>
      </c>
      <c r="D2563" s="2" t="s">
        <v>18</v>
      </c>
      <c r="E2563" s="5">
        <v>-29325</v>
      </c>
      <c r="F2563" s="3" t="s">
        <v>174</v>
      </c>
      <c r="G2563" s="3" t="s">
        <v>33</v>
      </c>
      <c r="H2563" s="2" t="s">
        <v>65</v>
      </c>
      <c r="I2563" s="2" t="s">
        <v>6284</v>
      </c>
      <c r="J2563" s="3" t="str">
        <f>HYPERLINK("https://www.boe.es/gazeta/dias/1819/09/16/pdfs/GMD-1819-113.pdf#page=6","Abrir facsímil")</f>
        <v>Abrir facsímil</v>
      </c>
      <c r="K2563" s="3" t="s">
        <v>67</v>
      </c>
    </row>
    <row r="2564" spans="1:11" ht="42" customHeight="1">
      <c r="A2564" s="2" t="s">
        <v>6285</v>
      </c>
      <c r="B2564" s="2" t="s">
        <v>6286</v>
      </c>
      <c r="C2564" s="2" t="s">
        <v>59</v>
      </c>
      <c r="D2564" s="2" t="s">
        <v>18</v>
      </c>
      <c r="E2564" s="5">
        <v>-29575</v>
      </c>
      <c r="F2564" s="3" t="s">
        <v>77</v>
      </c>
      <c r="G2564" s="3" t="s">
        <v>55</v>
      </c>
      <c r="H2564" s="2" t="s">
        <v>21</v>
      </c>
      <c r="I2564" s="2" t="s">
        <v>6287</v>
      </c>
      <c r="J2564" s="3" t="str">
        <f>HYPERLINK("https://www.boe.es/gazeta/dias/1819/01/09/pdfs/GMD-1819-4.pdf#page=7","Abrir facsímil")</f>
        <v>Abrir facsímil</v>
      </c>
      <c r="K2564" s="3" t="s">
        <v>23</v>
      </c>
    </row>
    <row r="2565" spans="1:11" ht="42" customHeight="1">
      <c r="A2565" s="2" t="s">
        <v>6288</v>
      </c>
      <c r="B2565" s="2" t="s">
        <v>6289</v>
      </c>
      <c r="C2565" s="2" t="s">
        <v>17</v>
      </c>
      <c r="D2565" s="2" t="s">
        <v>18</v>
      </c>
      <c r="E2565" s="5">
        <v>-29386</v>
      </c>
      <c r="F2565" s="3" t="s">
        <v>568</v>
      </c>
      <c r="G2565" s="3" t="s">
        <v>28</v>
      </c>
      <c r="H2565" s="2" t="s">
        <v>65</v>
      </c>
      <c r="I2565" s="2" t="s">
        <v>6290</v>
      </c>
      <c r="J2565" s="3" t="str">
        <f>HYPERLINK("https://www.boe.es/gazeta/dias/1819/07/17/pdfs/GMD-1819-86.pdf#page=8","Abrir facsímil")</f>
        <v>Abrir facsímil</v>
      </c>
      <c r="K2565" s="3" t="s">
        <v>67</v>
      </c>
    </row>
    <row r="2566" spans="1:11" ht="42" customHeight="1">
      <c r="A2566" s="2" t="s">
        <v>6291</v>
      </c>
      <c r="B2566" s="2" t="s">
        <v>6292</v>
      </c>
      <c r="C2566" s="2" t="s">
        <v>80</v>
      </c>
      <c r="D2566" s="2" t="s">
        <v>81</v>
      </c>
      <c r="E2566" s="5">
        <v>-29411</v>
      </c>
      <c r="F2566" s="3" t="s">
        <v>317</v>
      </c>
      <c r="G2566" s="3" t="s">
        <v>55</v>
      </c>
      <c r="H2566" s="2" t="s">
        <v>65</v>
      </c>
      <c r="I2566" s="2" t="s">
        <v>6293</v>
      </c>
      <c r="J2566" s="3" t="str">
        <f>HYPERLINK("https://www.boe.es/gazeta/dias/1819/06/22/pdfs/GMD-1819-75.pdf#page=7","Abrir facsímil")</f>
        <v>Abrir facsímil</v>
      </c>
      <c r="K2566" s="3" t="s">
        <v>67</v>
      </c>
    </row>
    <row r="2567" spans="1:11" ht="42" customHeight="1">
      <c r="A2567" s="2" t="s">
        <v>6294</v>
      </c>
      <c r="B2567" s="2" t="s">
        <v>6294</v>
      </c>
      <c r="C2567" s="2" t="s">
        <v>80</v>
      </c>
      <c r="D2567" s="2" t="s">
        <v>81</v>
      </c>
      <c r="E2567" s="5">
        <v>-29502</v>
      </c>
      <c r="F2567" s="3" t="s">
        <v>86</v>
      </c>
      <c r="G2567" s="3" t="s">
        <v>2658</v>
      </c>
      <c r="H2567" s="2" t="s">
        <v>65</v>
      </c>
      <c r="I2567" s="2" t="s">
        <v>6295</v>
      </c>
      <c r="J2567" s="3" t="str">
        <f>HYPERLINK("https://www.boe.es/gazeta/dias/1819/03/23/pdfs/GMD-1819-35.pdf#page=4","Abrir facsímil")</f>
        <v>Abrir facsímil</v>
      </c>
      <c r="K2567" s="3" t="s">
        <v>67</v>
      </c>
    </row>
    <row r="2568" spans="1:11" ht="42" customHeight="1">
      <c r="A2568" s="2" t="s">
        <v>6296</v>
      </c>
      <c r="B2568" s="2" t="s">
        <v>6297</v>
      </c>
      <c r="C2568" s="2" t="s">
        <v>59</v>
      </c>
      <c r="D2568" s="2" t="s">
        <v>18</v>
      </c>
      <c r="E2568" s="5">
        <v>-29316</v>
      </c>
      <c r="F2568" s="3" t="s">
        <v>166</v>
      </c>
      <c r="G2568" s="3" t="s">
        <v>28</v>
      </c>
      <c r="H2568" s="2" t="s">
        <v>65</v>
      </c>
      <c r="I2568" s="2" t="s">
        <v>6298</v>
      </c>
      <c r="J2568" s="3" t="str">
        <f>HYPERLINK("https://www.boe.es/gazeta/dias/1819/09/25/pdfs/GMD-1819-118.pdf#page=8","Abrir facsímil")</f>
        <v>Abrir facsímil</v>
      </c>
      <c r="K2568" s="3" t="s">
        <v>67</v>
      </c>
    </row>
    <row r="2569" spans="1:11" ht="42" customHeight="1">
      <c r="A2569" s="2" t="s">
        <v>6299</v>
      </c>
      <c r="B2569" s="2" t="s">
        <v>6300</v>
      </c>
      <c r="C2569" s="2" t="s">
        <v>136</v>
      </c>
      <c r="D2569" s="2" t="s">
        <v>18</v>
      </c>
      <c r="E2569" s="5">
        <v>-29537</v>
      </c>
      <c r="F2569" s="3" t="s">
        <v>593</v>
      </c>
      <c r="G2569" s="3" t="s">
        <v>138</v>
      </c>
      <c r="H2569" s="2" t="s">
        <v>65</v>
      </c>
      <c r="I2569" s="2" t="s">
        <v>6301</v>
      </c>
      <c r="J2569" s="3" t="str">
        <f>HYPERLINK("https://www.boe.es/gazeta/dias/1819/02/16/pdfs/GMD-1819-20.pdf#page=12","Abrir facsímil")</f>
        <v>Abrir facsímil</v>
      </c>
      <c r="K2569" s="3" t="s">
        <v>67</v>
      </c>
    </row>
    <row r="2570" spans="1:11" ht="42" customHeight="1">
      <c r="A2570" s="2" t="s">
        <v>6302</v>
      </c>
      <c r="B2570" s="2" t="s">
        <v>6303</v>
      </c>
      <c r="C2570" s="2" t="s">
        <v>136</v>
      </c>
      <c r="D2570" s="2" t="s">
        <v>18</v>
      </c>
      <c r="E2570" s="5">
        <v>-29537</v>
      </c>
      <c r="F2570" s="3" t="s">
        <v>593</v>
      </c>
      <c r="G2570" s="3" t="s">
        <v>138</v>
      </c>
      <c r="H2570" s="2" t="s">
        <v>65</v>
      </c>
      <c r="I2570" s="2" t="s">
        <v>6304</v>
      </c>
      <c r="J2570" s="3" t="str">
        <f>HYPERLINK("https://www.boe.es/gazeta/dias/1819/02/16/pdfs/GMD-1819-20.pdf#page=12","Abrir facsímil")</f>
        <v>Abrir facsímil</v>
      </c>
      <c r="K2570" s="3" t="s">
        <v>67</v>
      </c>
    </row>
    <row r="2571" spans="1:11" ht="42" customHeight="1">
      <c r="A2571" s="2" t="s">
        <v>6305</v>
      </c>
      <c r="B2571" s="2" t="s">
        <v>6305</v>
      </c>
      <c r="C2571" s="2" t="s">
        <v>215</v>
      </c>
      <c r="D2571" s="2" t="s">
        <v>18</v>
      </c>
      <c r="E2571" s="5">
        <v>-29278</v>
      </c>
      <c r="F2571" s="3" t="s">
        <v>1950</v>
      </c>
      <c r="G2571" s="3" t="s">
        <v>55</v>
      </c>
      <c r="H2571" s="2" t="s">
        <v>65</v>
      </c>
      <c r="I2571" s="2" t="s">
        <v>6306</v>
      </c>
      <c r="J2571" s="3" t="str">
        <f>HYPERLINK("https://www.boe.es/gazeta/dias/1819/11/02/pdfs/GMD-1819-135.pdf#page=7","Abrir facsímil")</f>
        <v>Abrir facsímil</v>
      </c>
      <c r="K2571" s="3" t="s">
        <v>67</v>
      </c>
    </row>
    <row r="2572" spans="1:11" ht="42" customHeight="1">
      <c r="A2572" s="2" t="s">
        <v>6307</v>
      </c>
      <c r="B2572" s="2" t="s">
        <v>6307</v>
      </c>
      <c r="C2572" s="2" t="s">
        <v>80</v>
      </c>
      <c r="D2572" s="2" t="s">
        <v>81</v>
      </c>
      <c r="E2572" s="5">
        <v>-29502</v>
      </c>
      <c r="F2572" s="3" t="s">
        <v>86</v>
      </c>
      <c r="G2572" s="3" t="s">
        <v>2658</v>
      </c>
      <c r="H2572" s="2" t="s">
        <v>65</v>
      </c>
      <c r="I2572" s="2" t="s">
        <v>6308</v>
      </c>
      <c r="J2572" s="3" t="str">
        <f>HYPERLINK("https://www.boe.es/gazeta/dias/1819/03/23/pdfs/GMD-1819-35.pdf#page=4","Abrir facsímil")</f>
        <v>Abrir facsímil</v>
      </c>
      <c r="K2572" s="3" t="s">
        <v>67</v>
      </c>
    </row>
    <row r="2573" spans="1:11" ht="42" customHeight="1">
      <c r="A2573" s="2" t="s">
        <v>6309</v>
      </c>
      <c r="B2573" s="2" t="s">
        <v>6310</v>
      </c>
      <c r="C2573" s="2" t="s">
        <v>63</v>
      </c>
      <c r="D2573" s="2" t="s">
        <v>43</v>
      </c>
      <c r="E2573" s="5">
        <v>-29516</v>
      </c>
      <c r="F2573" s="3" t="s">
        <v>137</v>
      </c>
      <c r="G2573" s="3" t="s">
        <v>20</v>
      </c>
      <c r="H2573" s="2" t="s">
        <v>65</v>
      </c>
      <c r="I2573" s="2" t="s">
        <v>6311</v>
      </c>
      <c r="J2573" s="3" t="str">
        <f>HYPERLINK("https://www.boe.es/gazeta/dias/1819/03/09/pdfs/GMD-1819-29.pdf#page=10","Abrir facsímil")</f>
        <v>Abrir facsímil</v>
      </c>
      <c r="K2573" s="3" t="s">
        <v>67</v>
      </c>
    </row>
    <row r="2574" spans="1:11" ht="42" customHeight="1">
      <c r="A2574" s="2" t="s">
        <v>6312</v>
      </c>
      <c r="B2574" s="2" t="s">
        <v>6313</v>
      </c>
      <c r="C2574" s="2" t="s">
        <v>246</v>
      </c>
      <c r="D2574" s="2" t="s">
        <v>18</v>
      </c>
      <c r="E2574" s="5">
        <v>-29498</v>
      </c>
      <c r="F2574" s="3" t="s">
        <v>119</v>
      </c>
      <c r="G2574" s="3" t="s">
        <v>28</v>
      </c>
      <c r="H2574" s="2" t="s">
        <v>65</v>
      </c>
      <c r="I2574" s="2" t="s">
        <v>6314</v>
      </c>
      <c r="J2574" s="3" t="str">
        <f>HYPERLINK("https://www.boe.es/gazeta/dias/1819/03/27/pdfs/GMD-1819-37.pdf#page=8","Abrir facsímil")</f>
        <v>Abrir facsímil</v>
      </c>
      <c r="K2574" s="3" t="s">
        <v>67</v>
      </c>
    </row>
    <row r="2575" spans="1:11" ht="42" customHeight="1">
      <c r="A2575" s="2" t="s">
        <v>6315</v>
      </c>
      <c r="B2575" s="2" t="s">
        <v>6316</v>
      </c>
      <c r="C2575" s="2" t="s">
        <v>63</v>
      </c>
      <c r="D2575" s="2" t="s">
        <v>43</v>
      </c>
      <c r="E2575" s="5">
        <v>-29281</v>
      </c>
      <c r="F2575" s="3" t="s">
        <v>19</v>
      </c>
      <c r="G2575" s="3" t="s">
        <v>28</v>
      </c>
      <c r="H2575" s="2" t="s">
        <v>21</v>
      </c>
      <c r="I2575" s="2" t="s">
        <v>6317</v>
      </c>
      <c r="J2575" s="3" t="str">
        <f>HYPERLINK("https://www.boe.es/gazeta/dias/1819/10/30/pdfs/GMD-1819-134.pdf#page=8","Abrir facsímil")</f>
        <v>Abrir facsímil</v>
      </c>
      <c r="K2575" s="3" t="s">
        <v>23</v>
      </c>
    </row>
    <row r="2576" spans="1:11" ht="42" customHeight="1">
      <c r="A2576" s="2" t="s">
        <v>6318</v>
      </c>
      <c r="B2576" s="2" t="s">
        <v>6319</v>
      </c>
      <c r="C2576" s="2" t="s">
        <v>80</v>
      </c>
      <c r="D2576" s="2" t="s">
        <v>81</v>
      </c>
      <c r="E2576" s="5">
        <v>-29465</v>
      </c>
      <c r="F2576" s="3" t="s">
        <v>1934</v>
      </c>
      <c r="G2576" s="3" t="s">
        <v>38</v>
      </c>
      <c r="H2576" s="2" t="s">
        <v>65</v>
      </c>
      <c r="I2576" s="2" t="s">
        <v>6320</v>
      </c>
      <c r="J2576" s="3" t="str">
        <f>HYPERLINK("https://www.boe.es/gazeta/dias/1819/04/29/pdfs/GMD-1819-51.pdf#page=5","Abrir facsímil")</f>
        <v>Abrir facsímil</v>
      </c>
      <c r="K2576" s="3" t="s">
        <v>67</v>
      </c>
    </row>
    <row r="2577" spans="1:11" ht="42" customHeight="1">
      <c r="A2577" s="2" t="s">
        <v>6321</v>
      </c>
      <c r="B2577" s="2" t="s">
        <v>6322</v>
      </c>
      <c r="C2577" s="2" t="s">
        <v>246</v>
      </c>
      <c r="D2577" s="2" t="s">
        <v>18</v>
      </c>
      <c r="E2577" s="5">
        <v>-29267</v>
      </c>
      <c r="F2577" s="3" t="s">
        <v>370</v>
      </c>
      <c r="G2577" s="3" t="s">
        <v>33</v>
      </c>
      <c r="H2577" s="2" t="s">
        <v>65</v>
      </c>
      <c r="I2577" s="2" t="s">
        <v>6323</v>
      </c>
      <c r="J2577" s="3" t="str">
        <f>HYPERLINK("https://www.boe.es/gazeta/dias/1819/11/13/pdfs/GMD-1819-140.pdf#page=6","Abrir facsímil")</f>
        <v>Abrir facsímil</v>
      </c>
      <c r="K2577" s="3" t="s">
        <v>67</v>
      </c>
    </row>
    <row r="2578" spans="1:11" ht="42" customHeight="1">
      <c r="A2578" s="2" t="s">
        <v>6324</v>
      </c>
      <c r="B2578" s="2" t="s">
        <v>6325</v>
      </c>
      <c r="C2578" s="2" t="s">
        <v>80</v>
      </c>
      <c r="D2578" s="2" t="s">
        <v>81</v>
      </c>
      <c r="E2578" s="5">
        <v>-29507</v>
      </c>
      <c r="F2578" s="3" t="s">
        <v>1928</v>
      </c>
      <c r="G2578" s="3" t="s">
        <v>28</v>
      </c>
      <c r="H2578" s="2" t="s">
        <v>65</v>
      </c>
      <c r="I2578" s="2" t="s">
        <v>6326</v>
      </c>
      <c r="J2578" s="3" t="str">
        <f>HYPERLINK("https://www.boe.es/gazeta/dias/1819/03/18/pdfs/GMD-1819-33.pdf#page=8","Abrir facsímil")</f>
        <v>Abrir facsímil</v>
      </c>
      <c r="K2578" s="3" t="s">
        <v>67</v>
      </c>
    </row>
    <row r="2579" spans="1:11" ht="42" customHeight="1">
      <c r="A2579" s="2" t="s">
        <v>6327</v>
      </c>
      <c r="B2579" s="2" t="s">
        <v>6328</v>
      </c>
      <c r="C2579" s="2" t="s">
        <v>80</v>
      </c>
      <c r="D2579" s="2" t="s">
        <v>81</v>
      </c>
      <c r="E2579" s="5">
        <v>-29353</v>
      </c>
      <c r="F2579" s="3" t="s">
        <v>867</v>
      </c>
      <c r="G2579" s="3" t="s">
        <v>28</v>
      </c>
      <c r="H2579" s="2" t="s">
        <v>65</v>
      </c>
      <c r="I2579" s="2" t="s">
        <v>6329</v>
      </c>
      <c r="J2579" s="3" t="str">
        <f>HYPERLINK("https://www.boe.es/gazeta/dias/1819/08/19/pdfs/GMD-1819-100.pdf#page=8","Abrir facsímil")</f>
        <v>Abrir facsímil</v>
      </c>
      <c r="K2579" s="3" t="s">
        <v>67</v>
      </c>
    </row>
    <row r="2580" spans="1:11" ht="42" customHeight="1">
      <c r="A2580" s="2" t="s">
        <v>6330</v>
      </c>
      <c r="B2580" s="2" t="s">
        <v>6331</v>
      </c>
      <c r="C2580" s="2" t="s">
        <v>80</v>
      </c>
      <c r="D2580" s="2" t="s">
        <v>81</v>
      </c>
      <c r="E2580" s="5">
        <v>-29348</v>
      </c>
      <c r="F2580" s="3" t="s">
        <v>227</v>
      </c>
      <c r="G2580" s="3" t="s">
        <v>5715</v>
      </c>
      <c r="H2580" s="2" t="s">
        <v>65</v>
      </c>
      <c r="I2580" s="2" t="s">
        <v>6332</v>
      </c>
      <c r="J2580" s="3" t="str">
        <f>HYPERLINK("https://www.boe.es/gazeta/dias/1819/08/24/pdfs/GMD-1819-102.pdf#page=6","Abrir facsímil")</f>
        <v>Abrir facsímil</v>
      </c>
      <c r="K2580" s="3" t="s">
        <v>67</v>
      </c>
    </row>
    <row r="2581" spans="1:11" ht="42" customHeight="1">
      <c r="A2581" s="2" t="s">
        <v>6333</v>
      </c>
      <c r="B2581" s="2" t="s">
        <v>6334</v>
      </c>
      <c r="C2581" s="2" t="s">
        <v>246</v>
      </c>
      <c r="D2581" s="2" t="s">
        <v>18</v>
      </c>
      <c r="E2581" s="5">
        <v>-29537</v>
      </c>
      <c r="F2581" s="3" t="s">
        <v>593</v>
      </c>
      <c r="G2581" s="3" t="s">
        <v>94</v>
      </c>
      <c r="H2581" s="2" t="s">
        <v>65</v>
      </c>
      <c r="I2581" s="2" t="s">
        <v>6335</v>
      </c>
      <c r="J2581" s="3" t="str">
        <f>HYPERLINK("https://www.boe.es/gazeta/dias/1819/02/16/pdfs/GMD-1819-20.pdf#page=11","Abrir facsímil")</f>
        <v>Abrir facsímil</v>
      </c>
      <c r="K2581" s="3" t="s">
        <v>67</v>
      </c>
    </row>
    <row r="2582" spans="1:11" ht="42" customHeight="1">
      <c r="A2582" s="2" t="s">
        <v>6336</v>
      </c>
      <c r="B2582" s="2" t="s">
        <v>6337</v>
      </c>
      <c r="C2582" s="2" t="s">
        <v>59</v>
      </c>
      <c r="D2582" s="2" t="s">
        <v>18</v>
      </c>
      <c r="E2582" s="5">
        <v>-29449</v>
      </c>
      <c r="F2582" s="3" t="s">
        <v>771</v>
      </c>
      <c r="G2582" s="3" t="s">
        <v>28</v>
      </c>
      <c r="H2582" s="2" t="s">
        <v>65</v>
      </c>
      <c r="I2582" s="2" t="s">
        <v>6338</v>
      </c>
      <c r="J2582" s="3" t="str">
        <f>HYPERLINK("https://www.boe.es/gazeta/dias/1819/05/15/pdfs/GMD-1819-58.pdf#page=8","Abrir facsímil")</f>
        <v>Abrir facsímil</v>
      </c>
      <c r="K2582" s="3" t="s">
        <v>67</v>
      </c>
    </row>
    <row r="2583" spans="1:11" ht="42" customHeight="1">
      <c r="A2583" s="2" t="s">
        <v>6339</v>
      </c>
      <c r="B2583" s="2" t="s">
        <v>6339</v>
      </c>
      <c r="C2583" s="2" t="s">
        <v>80</v>
      </c>
      <c r="D2583" s="2" t="s">
        <v>81</v>
      </c>
      <c r="E2583" s="5">
        <v>-29437</v>
      </c>
      <c r="F2583" s="3" t="s">
        <v>1147</v>
      </c>
      <c r="G2583" s="3" t="s">
        <v>38</v>
      </c>
      <c r="H2583" s="2" t="s">
        <v>65</v>
      </c>
      <c r="I2583" s="2" t="s">
        <v>6340</v>
      </c>
      <c r="J2583" s="3" t="str">
        <f>HYPERLINK("https://www.boe.es/gazeta/dias/1819/05/27/pdfs/GMD-1819-63.pdf#page=5","Abrir facsímil")</f>
        <v>Abrir facsímil</v>
      </c>
      <c r="K2583" s="3" t="s">
        <v>67</v>
      </c>
    </row>
    <row r="2584" spans="1:11" ht="42" customHeight="1">
      <c r="A2584" s="2" t="s">
        <v>6341</v>
      </c>
      <c r="B2584" s="2" t="s">
        <v>6342</v>
      </c>
      <c r="C2584" s="2" t="s">
        <v>63</v>
      </c>
      <c r="D2584" s="2" t="s">
        <v>454</v>
      </c>
      <c r="E2584" s="5">
        <v>-29287</v>
      </c>
      <c r="F2584" s="3" t="s">
        <v>455</v>
      </c>
      <c r="G2584" s="3" t="s">
        <v>456</v>
      </c>
      <c r="H2584" s="2" t="s">
        <v>65</v>
      </c>
      <c r="I2584" s="2" t="s">
        <v>6343</v>
      </c>
      <c r="J2584" s="3" t="str">
        <f>HYPERLINK("https://www.boe.es/gazeta/dias/1819/10/24/pdfs/GMD-1819-131E.pdf#page=9","Abrir facsímil")</f>
        <v>Abrir facsímil</v>
      </c>
      <c r="K2584" s="3" t="s">
        <v>67</v>
      </c>
    </row>
    <row r="2585" spans="1:11" ht="42" customHeight="1">
      <c r="A2585" s="2" t="s">
        <v>6344</v>
      </c>
      <c r="B2585" s="2" t="s">
        <v>6345</v>
      </c>
      <c r="C2585" s="2" t="s">
        <v>63</v>
      </c>
      <c r="D2585" s="2" t="s">
        <v>43</v>
      </c>
      <c r="E2585" s="5">
        <v>-29582</v>
      </c>
      <c r="F2585" s="3" t="s">
        <v>376</v>
      </c>
      <c r="G2585" s="3" t="s">
        <v>28</v>
      </c>
      <c r="H2585" s="2" t="s">
        <v>65</v>
      </c>
      <c r="I2585" s="2" t="s">
        <v>6346</v>
      </c>
      <c r="J2585" s="3" t="str">
        <f>HYPERLINK("https://www.boe.es/gazeta/dias/1819/01/02/pdfs/GMD-1819-1.pdf#page=8","Abrir facsímil")</f>
        <v>Abrir facsímil</v>
      </c>
      <c r="K2585" s="3" t="s">
        <v>67</v>
      </c>
    </row>
    <row r="2586" spans="1:11" ht="42" customHeight="1">
      <c r="A2586" s="2" t="s">
        <v>6347</v>
      </c>
      <c r="B2586" s="2" t="s">
        <v>6348</v>
      </c>
      <c r="C2586" s="2" t="s">
        <v>59</v>
      </c>
      <c r="D2586" s="2" t="s">
        <v>18</v>
      </c>
      <c r="E2586" s="5">
        <v>-29572</v>
      </c>
      <c r="F2586" s="3" t="s">
        <v>589</v>
      </c>
      <c r="G2586" s="3" t="s">
        <v>590</v>
      </c>
      <c r="H2586" s="2" t="s">
        <v>65</v>
      </c>
      <c r="I2586" s="2" t="s">
        <v>6349</v>
      </c>
      <c r="J2586" s="3" t="str">
        <f>HYPERLINK("https://www.boe.es/gazeta/dias/1819/01/12/pdfs/GMD-1819-5.pdf#page=8","Abrir facsímil")</f>
        <v>Abrir facsímil</v>
      </c>
      <c r="K2586" s="3" t="s">
        <v>67</v>
      </c>
    </row>
    <row r="2587" spans="1:11" ht="42" customHeight="1">
      <c r="A2587" s="2" t="s">
        <v>6350</v>
      </c>
      <c r="B2587" s="2" t="s">
        <v>6351</v>
      </c>
      <c r="C2587" s="2" t="s">
        <v>17</v>
      </c>
      <c r="D2587" s="2" t="s">
        <v>18</v>
      </c>
      <c r="E2587" s="5">
        <v>-29257</v>
      </c>
      <c r="F2587" s="3" t="s">
        <v>73</v>
      </c>
      <c r="G2587" s="3" t="s">
        <v>33</v>
      </c>
      <c r="H2587" s="2" t="s">
        <v>65</v>
      </c>
      <c r="I2587" s="2" t="s">
        <v>6352</v>
      </c>
      <c r="J2587" s="3" t="str">
        <f>HYPERLINK("https://www.boe.es/gazeta/dias/1819/11/23/pdfs/GMD-1819-144.pdf#page=6","Abrir facsímil")</f>
        <v>Abrir facsímil</v>
      </c>
      <c r="K2587" s="3" t="s">
        <v>67</v>
      </c>
    </row>
    <row r="2588" spans="1:11" ht="42" customHeight="1">
      <c r="A2588" s="2" t="s">
        <v>6353</v>
      </c>
      <c r="B2588" s="2" t="s">
        <v>6354</v>
      </c>
      <c r="C2588" s="2" t="s">
        <v>26</v>
      </c>
      <c r="D2588" s="2" t="s">
        <v>18</v>
      </c>
      <c r="E2588" s="5">
        <v>-29572</v>
      </c>
      <c r="F2588" s="3" t="s">
        <v>589</v>
      </c>
      <c r="G2588" s="3" t="s">
        <v>590</v>
      </c>
      <c r="H2588" s="2" t="s">
        <v>65</v>
      </c>
      <c r="I2588" s="2" t="s">
        <v>6355</v>
      </c>
      <c r="J2588" s="3" t="str">
        <f>HYPERLINK("https://www.boe.es/gazeta/dias/1819/01/12/pdfs/GMD-1819-5.pdf#page=8","Abrir facsímil")</f>
        <v>Abrir facsímil</v>
      </c>
      <c r="K2588" s="3" t="s">
        <v>67</v>
      </c>
    </row>
    <row r="2589" spans="1:11" ht="42" customHeight="1">
      <c r="A2589" s="2" t="s">
        <v>6356</v>
      </c>
      <c r="B2589" s="2" t="s">
        <v>6357</v>
      </c>
      <c r="C2589" s="2" t="s">
        <v>80</v>
      </c>
      <c r="D2589" s="2" t="s">
        <v>81</v>
      </c>
      <c r="E2589" s="5">
        <v>-29260</v>
      </c>
      <c r="F2589" s="3" t="s">
        <v>93</v>
      </c>
      <c r="G2589" s="3" t="s">
        <v>456</v>
      </c>
      <c r="H2589" s="2" t="s">
        <v>65</v>
      </c>
      <c r="I2589" s="2" t="s">
        <v>6358</v>
      </c>
      <c r="J2589" s="3" t="str">
        <f>HYPERLINK("https://www.boe.es/gazeta/dias/1819/11/20/pdfs/GMD-1819-143.pdf#page=9","Abrir facsímil")</f>
        <v>Abrir facsímil</v>
      </c>
      <c r="K2589" s="3" t="s">
        <v>67</v>
      </c>
    </row>
    <row r="2590" spans="1:11" ht="42" customHeight="1">
      <c r="A2590" s="2" t="s">
        <v>6359</v>
      </c>
      <c r="B2590" s="2" t="s">
        <v>6360</v>
      </c>
      <c r="C2590" s="2" t="s">
        <v>63</v>
      </c>
      <c r="D2590" s="2" t="s">
        <v>43</v>
      </c>
      <c r="E2590" s="5">
        <v>-29572</v>
      </c>
      <c r="F2590" s="3" t="s">
        <v>589</v>
      </c>
      <c r="G2590" s="3" t="s">
        <v>590</v>
      </c>
      <c r="H2590" s="2" t="s">
        <v>65</v>
      </c>
      <c r="I2590" s="2" t="s">
        <v>6361</v>
      </c>
      <c r="J2590" s="3" t="str">
        <f>HYPERLINK("https://www.boe.es/gazeta/dias/1819/01/12/pdfs/GMD-1819-5.pdf#page=8","Abrir facsímil")</f>
        <v>Abrir facsímil</v>
      </c>
      <c r="K2590" s="3" t="s">
        <v>67</v>
      </c>
    </row>
    <row r="2591" spans="1:11" ht="42" customHeight="1">
      <c r="A2591" s="2" t="s">
        <v>6362</v>
      </c>
      <c r="B2591" s="2" t="s">
        <v>6363</v>
      </c>
      <c r="C2591" s="2" t="s">
        <v>63</v>
      </c>
      <c r="D2591" s="2" t="s">
        <v>43</v>
      </c>
      <c r="E2591" s="5">
        <v>-29271</v>
      </c>
      <c r="F2591" s="3" t="s">
        <v>32</v>
      </c>
      <c r="G2591" s="3" t="s">
        <v>2323</v>
      </c>
      <c r="H2591" s="2" t="s">
        <v>65</v>
      </c>
      <c r="I2591" s="2" t="s">
        <v>6364</v>
      </c>
      <c r="J2591" s="3" t="str">
        <f>HYPERLINK("https://www.boe.es/gazeta/dias/1819/11/09/pdfs/GMD-1819-138.pdf#page=5","Abrir facsímil")</f>
        <v>Abrir facsímil</v>
      </c>
      <c r="K2591" s="3" t="s">
        <v>67</v>
      </c>
    </row>
    <row r="2592" spans="1:11" ht="42" customHeight="1">
      <c r="A2592" s="2" t="s">
        <v>6365</v>
      </c>
      <c r="B2592" s="2" t="s">
        <v>6366</v>
      </c>
      <c r="C2592" s="2" t="s">
        <v>59</v>
      </c>
      <c r="D2592" s="2" t="s">
        <v>18</v>
      </c>
      <c r="E2592" s="5">
        <v>-29533</v>
      </c>
      <c r="F2592" s="3" t="s">
        <v>280</v>
      </c>
      <c r="G2592" s="3" t="s">
        <v>28</v>
      </c>
      <c r="H2592" s="2" t="s">
        <v>21</v>
      </c>
      <c r="I2592" s="2" t="s">
        <v>6367</v>
      </c>
      <c r="J2592" s="3" t="str">
        <f>HYPERLINK("https://www.boe.es/gazeta/dias/1819/02/20/pdfs/GMD-1819-22.pdf#page=8","Abrir facsímil")</f>
        <v>Abrir facsímil</v>
      </c>
      <c r="K2592" s="3" t="s">
        <v>23</v>
      </c>
    </row>
    <row r="2593" spans="1:11" ht="42" customHeight="1">
      <c r="A2593" s="2" t="s">
        <v>6368</v>
      </c>
      <c r="B2593" s="2" t="s">
        <v>6369</v>
      </c>
      <c r="C2593" s="2" t="s">
        <v>136</v>
      </c>
      <c r="D2593" s="2" t="s">
        <v>18</v>
      </c>
      <c r="E2593" s="5">
        <v>-29523</v>
      </c>
      <c r="F2593" s="3" t="s">
        <v>436</v>
      </c>
      <c r="G2593" s="3" t="s">
        <v>28</v>
      </c>
      <c r="H2593" s="2" t="s">
        <v>21</v>
      </c>
      <c r="I2593" s="2" t="s">
        <v>6370</v>
      </c>
      <c r="J2593" s="3" t="str">
        <f>HYPERLINK("https://www.boe.es/gazeta/dias/1819/03/02/pdfs/GMD-1819-26.pdf#page=8","Abrir facsímil")</f>
        <v>Abrir facsímil</v>
      </c>
      <c r="K2593" s="3" t="s">
        <v>23</v>
      </c>
    </row>
    <row r="2594" spans="1:11" ht="42" customHeight="1">
      <c r="A2594" s="2" t="s">
        <v>6371</v>
      </c>
      <c r="B2594" s="2" t="s">
        <v>6372</v>
      </c>
      <c r="C2594" s="2" t="s">
        <v>80</v>
      </c>
      <c r="D2594" s="2" t="s">
        <v>81</v>
      </c>
      <c r="E2594" s="5">
        <v>-29285</v>
      </c>
      <c r="F2594" s="3" t="s">
        <v>578</v>
      </c>
      <c r="G2594" s="3" t="s">
        <v>55</v>
      </c>
      <c r="H2594" s="2" t="s">
        <v>65</v>
      </c>
      <c r="I2594" s="2" t="s">
        <v>6373</v>
      </c>
      <c r="J2594" s="3" t="str">
        <f>HYPERLINK("https://www.boe.es/gazeta/dias/1819/10/26/pdfs/GMD-1819-132.pdf#page=7","Abrir facsímil")</f>
        <v>Abrir facsímil</v>
      </c>
      <c r="K2594" s="3" t="s">
        <v>67</v>
      </c>
    </row>
    <row r="2595" spans="1:11" ht="42" customHeight="1">
      <c r="A2595" s="2" t="s">
        <v>6374</v>
      </c>
      <c r="B2595" s="2" t="s">
        <v>6375</v>
      </c>
      <c r="C2595" s="2" t="s">
        <v>59</v>
      </c>
      <c r="D2595" s="2" t="s">
        <v>18</v>
      </c>
      <c r="E2595" s="5">
        <v>-29316</v>
      </c>
      <c r="F2595" s="3" t="s">
        <v>166</v>
      </c>
      <c r="G2595" s="3" t="s">
        <v>28</v>
      </c>
      <c r="H2595" s="2" t="s">
        <v>21</v>
      </c>
      <c r="I2595" s="2" t="s">
        <v>6376</v>
      </c>
      <c r="J2595" s="3" t="str">
        <f>HYPERLINK("https://www.boe.es/gazeta/dias/1819/09/25/pdfs/GMD-1819-118.pdf#page=8","Abrir facsímil")</f>
        <v>Abrir facsímil</v>
      </c>
      <c r="K2595" s="3" t="s">
        <v>23</v>
      </c>
    </row>
    <row r="2596" spans="1:11" ht="42" customHeight="1">
      <c r="A2596" s="2" t="s">
        <v>6377</v>
      </c>
      <c r="B2596" s="2" t="s">
        <v>6378</v>
      </c>
      <c r="C2596" s="2" t="s">
        <v>136</v>
      </c>
      <c r="D2596" s="2" t="s">
        <v>18</v>
      </c>
      <c r="E2596" s="5">
        <v>-29418</v>
      </c>
      <c r="F2596" s="3" t="s">
        <v>447</v>
      </c>
      <c r="G2596" s="3" t="s">
        <v>28</v>
      </c>
      <c r="H2596" s="2" t="s">
        <v>65</v>
      </c>
      <c r="I2596" s="2" t="s">
        <v>6379</v>
      </c>
      <c r="J2596" s="3" t="str">
        <f>HYPERLINK("https://www.boe.es/gazeta/dias/1819/06/15/pdfs/GMD-1819-72.pdf#page=8","Abrir facsímil")</f>
        <v>Abrir facsímil</v>
      </c>
      <c r="K2596" s="3" t="s">
        <v>67</v>
      </c>
    </row>
    <row r="2597" spans="1:11" ht="42" customHeight="1">
      <c r="A2597" s="2" t="s">
        <v>6380</v>
      </c>
      <c r="B2597" s="2" t="s">
        <v>6381</v>
      </c>
      <c r="C2597" s="2" t="s">
        <v>59</v>
      </c>
      <c r="D2597" s="2" t="s">
        <v>18</v>
      </c>
      <c r="E2597" s="5">
        <v>-29306</v>
      </c>
      <c r="F2597" s="3" t="s">
        <v>303</v>
      </c>
      <c r="G2597" s="3" t="s">
        <v>28</v>
      </c>
      <c r="H2597" s="2" t="s">
        <v>65</v>
      </c>
      <c r="I2597" s="2" t="s">
        <v>6382</v>
      </c>
      <c r="J2597" s="3" t="str">
        <f>HYPERLINK("https://www.boe.es/gazeta/dias/1819/10/05/pdfs/GMD-1819-122.pdf#page=8","Abrir facsímil")</f>
        <v>Abrir facsímil</v>
      </c>
      <c r="K2597" s="3" t="s">
        <v>67</v>
      </c>
    </row>
    <row r="2598" spans="1:11" ht="42" customHeight="1">
      <c r="A2598" s="2" t="s">
        <v>6380</v>
      </c>
      <c r="B2598" s="2" t="s">
        <v>6381</v>
      </c>
      <c r="C2598" s="2" t="s">
        <v>59</v>
      </c>
      <c r="D2598" s="2" t="s">
        <v>18</v>
      </c>
      <c r="E2598" s="5">
        <v>-29241</v>
      </c>
      <c r="F2598" s="3" t="s">
        <v>1382</v>
      </c>
      <c r="G2598" s="3" t="s">
        <v>3247</v>
      </c>
      <c r="H2598" s="2" t="s">
        <v>65</v>
      </c>
      <c r="I2598" s="2" t="s">
        <v>6383</v>
      </c>
      <c r="J2598" s="3" t="str">
        <f>HYPERLINK("https://www.boe.es/gazeta/dias/1819/12/09/pdfs/GMD-1819-151.pdf#page=8","Abrir facsímil")</f>
        <v>Abrir facsímil</v>
      </c>
      <c r="K2598" s="3" t="s">
        <v>67</v>
      </c>
    </row>
    <row r="2599" spans="1:11" ht="42" customHeight="1">
      <c r="A2599" s="2" t="s">
        <v>6380</v>
      </c>
      <c r="B2599" s="2" t="s">
        <v>6381</v>
      </c>
      <c r="C2599" s="2" t="s">
        <v>63</v>
      </c>
      <c r="D2599" s="2" t="s">
        <v>43</v>
      </c>
      <c r="E2599" s="5">
        <v>-29222</v>
      </c>
      <c r="F2599" s="3" t="s">
        <v>338</v>
      </c>
      <c r="G2599" s="3" t="s">
        <v>339</v>
      </c>
      <c r="H2599" s="2" t="s">
        <v>65</v>
      </c>
      <c r="I2599" s="2" t="s">
        <v>6384</v>
      </c>
      <c r="J2599" s="3" t="str">
        <f>HYPERLINK("https://www.boe.es/gazeta/dias/1819/12/28/pdfs/GMD-1819-159.pdf#page=8","Abrir facsímil")</f>
        <v>Abrir facsímil</v>
      </c>
      <c r="K2599" s="3" t="s">
        <v>67</v>
      </c>
    </row>
    <row r="2600" spans="1:11" ht="42" customHeight="1">
      <c r="A2600" s="2" t="s">
        <v>6385</v>
      </c>
      <c r="B2600" s="2" t="s">
        <v>6386</v>
      </c>
      <c r="C2600" s="2" t="s">
        <v>59</v>
      </c>
      <c r="D2600" s="2" t="s">
        <v>18</v>
      </c>
      <c r="E2600" s="5">
        <v>-29316</v>
      </c>
      <c r="F2600" s="3" t="s">
        <v>166</v>
      </c>
      <c r="G2600" s="3" t="s">
        <v>28</v>
      </c>
      <c r="H2600" s="2" t="s">
        <v>65</v>
      </c>
      <c r="I2600" s="2" t="s">
        <v>6387</v>
      </c>
      <c r="J2600" s="3" t="str">
        <f>HYPERLINK("https://www.boe.es/gazeta/dias/1819/09/25/pdfs/GMD-1819-118.pdf#page=8","Abrir facsímil")</f>
        <v>Abrir facsímil</v>
      </c>
      <c r="K2600" s="3" t="s">
        <v>67</v>
      </c>
    </row>
    <row r="2601" spans="1:11" ht="42" customHeight="1">
      <c r="A2601" s="2" t="s">
        <v>6388</v>
      </c>
      <c r="B2601" s="2" t="s">
        <v>6389</v>
      </c>
      <c r="C2601" s="2" t="s">
        <v>80</v>
      </c>
      <c r="D2601" s="2" t="s">
        <v>81</v>
      </c>
      <c r="E2601" s="5">
        <v>-29320</v>
      </c>
      <c r="F2601" s="3" t="s">
        <v>690</v>
      </c>
      <c r="G2601" s="3" t="s">
        <v>28</v>
      </c>
      <c r="H2601" s="2" t="s">
        <v>65</v>
      </c>
      <c r="I2601" s="2" t="s">
        <v>6390</v>
      </c>
      <c r="J2601" s="3" t="str">
        <f>HYPERLINK("https://www.boe.es/gazeta/dias/1819/09/21/pdfs/GMD-1819-116.pdf#page=8","Abrir facsímil")</f>
        <v>Abrir facsímil</v>
      </c>
      <c r="K2601" s="3" t="s">
        <v>67</v>
      </c>
    </row>
    <row r="2602" spans="1:11" ht="42" customHeight="1">
      <c r="A2602" s="2" t="s">
        <v>6391</v>
      </c>
      <c r="B2602" s="2" t="s">
        <v>6392</v>
      </c>
      <c r="C2602" s="2" t="s">
        <v>59</v>
      </c>
      <c r="D2602" s="2" t="s">
        <v>18</v>
      </c>
      <c r="E2602" s="5">
        <v>-29292</v>
      </c>
      <c r="F2602" s="3" t="s">
        <v>875</v>
      </c>
      <c r="G2602" s="3" t="s">
        <v>28</v>
      </c>
      <c r="H2602" s="2" t="s">
        <v>65</v>
      </c>
      <c r="I2602" s="2" t="s">
        <v>6393</v>
      </c>
      <c r="J2602" s="3" t="str">
        <f>HYPERLINK("https://www.boe.es/gazeta/dias/1819/10/19/pdfs/GMD-1819-128.pdf#page=8","Abrir facsímil")</f>
        <v>Abrir facsímil</v>
      </c>
      <c r="K2602" s="3" t="s">
        <v>67</v>
      </c>
    </row>
    <row r="2603" spans="1:11" ht="42" customHeight="1">
      <c r="A2603" s="2" t="s">
        <v>6394</v>
      </c>
      <c r="B2603" s="2" t="s">
        <v>6395</v>
      </c>
      <c r="C2603" s="2" t="s">
        <v>63</v>
      </c>
      <c r="D2603" s="2" t="s">
        <v>43</v>
      </c>
      <c r="E2603" s="5">
        <v>-29281</v>
      </c>
      <c r="F2603" s="3" t="s">
        <v>19</v>
      </c>
      <c r="G2603" s="3" t="s">
        <v>28</v>
      </c>
      <c r="H2603" s="2" t="s">
        <v>65</v>
      </c>
      <c r="I2603" s="2" t="s">
        <v>6396</v>
      </c>
      <c r="J2603" s="3" t="str">
        <f>HYPERLINK("https://www.boe.es/gazeta/dias/1819/10/30/pdfs/GMD-1819-134.pdf#page=8","Abrir facsímil")</f>
        <v>Abrir facsímil</v>
      </c>
      <c r="K2603" s="3" t="s">
        <v>67</v>
      </c>
    </row>
    <row r="2604" spans="1:11" ht="42" customHeight="1">
      <c r="A2604" s="2" t="s">
        <v>6397</v>
      </c>
      <c r="B2604" s="2" t="s">
        <v>6398</v>
      </c>
      <c r="C2604" s="2" t="s">
        <v>80</v>
      </c>
      <c r="D2604" s="2" t="s">
        <v>81</v>
      </c>
      <c r="E2604" s="5">
        <v>-29577</v>
      </c>
      <c r="F2604" s="3" t="s">
        <v>1008</v>
      </c>
      <c r="G2604" s="3" t="s">
        <v>33</v>
      </c>
      <c r="H2604" s="2" t="s">
        <v>65</v>
      </c>
      <c r="I2604" s="2" t="s">
        <v>6399</v>
      </c>
      <c r="J2604" s="3" t="str">
        <f>HYPERLINK("https://www.boe.es/gazeta/dias/1819/01/07/pdfs/GMD-1819-3.pdf#page=6","Abrir facsímil")</f>
        <v>Abrir facsímil</v>
      </c>
      <c r="K2604" s="3" t="s">
        <v>67</v>
      </c>
    </row>
    <row r="2605" spans="1:11" ht="42" customHeight="1">
      <c r="A2605" s="2" t="s">
        <v>6400</v>
      </c>
      <c r="B2605" s="2" t="s">
        <v>6401</v>
      </c>
      <c r="C2605" s="2" t="s">
        <v>215</v>
      </c>
      <c r="D2605" s="2" t="s">
        <v>18</v>
      </c>
      <c r="E2605" s="5">
        <v>-29257</v>
      </c>
      <c r="F2605" s="3" t="s">
        <v>73</v>
      </c>
      <c r="G2605" s="3" t="s">
        <v>138</v>
      </c>
      <c r="H2605" s="2" t="s">
        <v>65</v>
      </c>
      <c r="I2605" s="2" t="s">
        <v>6402</v>
      </c>
      <c r="J2605" s="3" t="str">
        <f>HYPERLINK("https://www.boe.es/gazeta/dias/1819/11/23/pdfs/GMD-1819-144.pdf#page=12","Abrir facsímil")</f>
        <v>Abrir facsímil</v>
      </c>
      <c r="K2605" s="3" t="s">
        <v>67</v>
      </c>
    </row>
    <row r="2606" spans="1:11" ht="42" customHeight="1">
      <c r="A2606" s="2" t="s">
        <v>6403</v>
      </c>
      <c r="B2606" s="2" t="s">
        <v>6404</v>
      </c>
      <c r="C2606" s="2" t="s">
        <v>63</v>
      </c>
      <c r="D2606" s="2" t="s">
        <v>43</v>
      </c>
      <c r="E2606" s="5">
        <v>-29274</v>
      </c>
      <c r="F2606" s="3" t="s">
        <v>247</v>
      </c>
      <c r="G2606" s="3" t="s">
        <v>28</v>
      </c>
      <c r="H2606" s="2" t="s">
        <v>65</v>
      </c>
      <c r="I2606" s="2" t="s">
        <v>6405</v>
      </c>
      <c r="J2606" s="3" t="str">
        <f>HYPERLINK("https://www.boe.es/gazeta/dias/1819/11/06/pdfs/GMD-1819-137.pdf#page=8","Abrir facsímil")</f>
        <v>Abrir facsímil</v>
      </c>
      <c r="K2606" s="3" t="s">
        <v>67</v>
      </c>
    </row>
    <row r="2607" spans="1:11" ht="42" customHeight="1">
      <c r="A2607" s="2" t="s">
        <v>6406</v>
      </c>
      <c r="B2607" s="2" t="s">
        <v>6407</v>
      </c>
      <c r="C2607" s="2" t="s">
        <v>17</v>
      </c>
      <c r="D2607" s="2" t="s">
        <v>18</v>
      </c>
      <c r="E2607" s="5">
        <v>-29512</v>
      </c>
      <c r="F2607" s="3" t="s">
        <v>741</v>
      </c>
      <c r="G2607" s="3" t="s">
        <v>28</v>
      </c>
      <c r="H2607" s="2" t="s">
        <v>65</v>
      </c>
      <c r="I2607" s="2" t="s">
        <v>6408</v>
      </c>
      <c r="J2607" s="3" t="str">
        <f>HYPERLINK("https://www.boe.es/gazeta/dias/1819/03/13/pdfs/GMD-1819-31.pdf#page=8","Abrir facsímil")</f>
        <v>Abrir facsímil</v>
      </c>
      <c r="K2607" s="3" t="s">
        <v>67</v>
      </c>
    </row>
    <row r="2608" spans="1:11" ht="42" customHeight="1">
      <c r="A2608" s="2" t="s">
        <v>6409</v>
      </c>
      <c r="B2608" s="2" t="s">
        <v>6410</v>
      </c>
      <c r="C2608" s="2" t="s">
        <v>63</v>
      </c>
      <c r="D2608" s="2" t="s">
        <v>43</v>
      </c>
      <c r="E2608" s="5">
        <v>-29232</v>
      </c>
      <c r="F2608" s="3" t="s">
        <v>752</v>
      </c>
      <c r="G2608" s="3" t="s">
        <v>839</v>
      </c>
      <c r="H2608" s="2" t="s">
        <v>65</v>
      </c>
      <c r="I2608" s="2" t="s">
        <v>6411</v>
      </c>
      <c r="J2608" s="3" t="str">
        <f>HYPERLINK("https://www.boe.es/gazeta/dias/1819/12/18/pdfs/GMD-1819-155.pdf#page=8","Abrir facsímil")</f>
        <v>Abrir facsímil</v>
      </c>
      <c r="K2608" s="3" t="s">
        <v>67</v>
      </c>
    </row>
    <row r="2609" spans="1:11" ht="42" customHeight="1">
      <c r="A2609" s="2" t="s">
        <v>6412</v>
      </c>
      <c r="B2609" s="2" t="s">
        <v>6413</v>
      </c>
      <c r="C2609" s="2" t="s">
        <v>63</v>
      </c>
      <c r="D2609" s="2" t="s">
        <v>43</v>
      </c>
      <c r="E2609" s="5">
        <v>-29397</v>
      </c>
      <c r="F2609" s="3" t="s">
        <v>599</v>
      </c>
      <c r="G2609" s="3" t="s">
        <v>28</v>
      </c>
      <c r="H2609" s="2" t="s">
        <v>65</v>
      </c>
      <c r="I2609" s="2" t="s">
        <v>6414</v>
      </c>
      <c r="J2609" s="3" t="str">
        <f>HYPERLINK("https://www.boe.es/gazeta/dias/1819/07/06/pdfs/GMD-1819-81.pdf#page=8","Abrir facsímil")</f>
        <v>Abrir facsímil</v>
      </c>
      <c r="K2609" s="3" t="s">
        <v>67</v>
      </c>
    </row>
    <row r="2610" spans="1:11" ht="42" customHeight="1">
      <c r="A2610" s="2" t="s">
        <v>6415</v>
      </c>
      <c r="B2610" s="2" t="s">
        <v>6416</v>
      </c>
      <c r="C2610" s="2" t="s">
        <v>63</v>
      </c>
      <c r="D2610" s="2" t="s">
        <v>43</v>
      </c>
      <c r="E2610" s="5">
        <v>-29395</v>
      </c>
      <c r="F2610" s="3" t="s">
        <v>684</v>
      </c>
      <c r="G2610" s="3" t="s">
        <v>685</v>
      </c>
      <c r="H2610" s="2" t="s">
        <v>65</v>
      </c>
      <c r="I2610" s="2" t="s">
        <v>6417</v>
      </c>
      <c r="J2610" s="3" t="str">
        <f>HYPERLINK("https://www.boe.es/gazeta/dias/1819/07/08/pdfs/GMD-1819-82.pdf#page=8","Abrir facsímil")</f>
        <v>Abrir facsímil</v>
      </c>
      <c r="K2610" s="3" t="s">
        <v>67</v>
      </c>
    </row>
    <row r="2611" spans="1:11" ht="42" customHeight="1">
      <c r="A2611" s="2" t="s">
        <v>6415</v>
      </c>
      <c r="B2611" s="2" t="s">
        <v>6416</v>
      </c>
      <c r="C2611" s="2" t="s">
        <v>63</v>
      </c>
      <c r="D2611" s="2" t="s">
        <v>43</v>
      </c>
      <c r="E2611" s="5">
        <v>-29299</v>
      </c>
      <c r="F2611" s="3" t="s">
        <v>798</v>
      </c>
      <c r="G2611" s="3" t="s">
        <v>1562</v>
      </c>
      <c r="H2611" s="2" t="s">
        <v>65</v>
      </c>
      <c r="I2611" s="2" t="s">
        <v>6418</v>
      </c>
      <c r="J2611" s="3" t="str">
        <f>HYPERLINK("https://www.boe.es/gazeta/dias/1819/10/12/pdfs/GMD-1819-125.pdf#page=8","Abrir facsímil")</f>
        <v>Abrir facsímil</v>
      </c>
      <c r="K2611" s="3" t="s">
        <v>67</v>
      </c>
    </row>
    <row r="2612" spans="1:11" ht="42" customHeight="1">
      <c r="A2612" s="2" t="s">
        <v>6419</v>
      </c>
      <c r="B2612" s="2" t="s">
        <v>6419</v>
      </c>
      <c r="C2612" s="2" t="s">
        <v>80</v>
      </c>
      <c r="D2612" s="2" t="s">
        <v>81</v>
      </c>
      <c r="E2612" s="5">
        <v>-29260</v>
      </c>
      <c r="F2612" s="3" t="s">
        <v>93</v>
      </c>
      <c r="G2612" s="3" t="s">
        <v>456</v>
      </c>
      <c r="H2612" s="2" t="s">
        <v>65</v>
      </c>
      <c r="I2612" s="2" t="s">
        <v>6420</v>
      </c>
      <c r="J2612" s="3" t="str">
        <f>HYPERLINK("https://www.boe.es/gazeta/dias/1819/11/20/pdfs/GMD-1819-143.pdf#page=9","Abrir facsímil")</f>
        <v>Abrir facsímil</v>
      </c>
      <c r="K2612" s="3" t="s">
        <v>67</v>
      </c>
    </row>
    <row r="2613" spans="1:11" ht="42" customHeight="1">
      <c r="A2613" s="2" t="s">
        <v>6421</v>
      </c>
      <c r="B2613" s="2" t="s">
        <v>6422</v>
      </c>
      <c r="C2613" s="2" t="s">
        <v>80</v>
      </c>
      <c r="D2613" s="2" t="s">
        <v>81</v>
      </c>
      <c r="E2613" s="5">
        <v>-29264</v>
      </c>
      <c r="F2613" s="3" t="s">
        <v>37</v>
      </c>
      <c r="G2613" s="3" t="s">
        <v>5761</v>
      </c>
      <c r="H2613" s="2" t="s">
        <v>21</v>
      </c>
      <c r="I2613" s="2" t="s">
        <v>6423</v>
      </c>
      <c r="J2613" s="3" t="str">
        <f>HYPERLINK("https://www.boe.es/gazeta/dias/1819/11/16/pdfs/GMD-1819-141.pdf#page=4","Abrir facsímil")</f>
        <v>Abrir facsímil</v>
      </c>
      <c r="K2613" s="3" t="s">
        <v>23</v>
      </c>
    </row>
    <row r="2614" spans="1:11" ht="42" customHeight="1">
      <c r="A2614" s="2" t="s">
        <v>6424</v>
      </c>
      <c r="B2614" s="2" t="s">
        <v>6425</v>
      </c>
      <c r="C2614" s="2" t="s">
        <v>59</v>
      </c>
      <c r="D2614" s="2" t="s">
        <v>18</v>
      </c>
      <c r="E2614" s="5">
        <v>-29276</v>
      </c>
      <c r="F2614" s="3" t="s">
        <v>54</v>
      </c>
      <c r="G2614" s="3" t="s">
        <v>284</v>
      </c>
      <c r="H2614" s="2" t="s">
        <v>65</v>
      </c>
      <c r="I2614" s="2" t="s">
        <v>6426</v>
      </c>
      <c r="J2614" s="3" t="str">
        <f>HYPERLINK("https://www.boe.es/gazeta/dias/1819/11/04/pdfs/GMD-1819-136.pdf#page=6","Abrir facsímil")</f>
        <v>Abrir facsímil</v>
      </c>
      <c r="K2614" s="3" t="s">
        <v>67</v>
      </c>
    </row>
    <row r="2615" spans="1:11" ht="42" customHeight="1">
      <c r="A2615" s="2" t="s">
        <v>6427</v>
      </c>
      <c r="B2615" s="2" t="s">
        <v>6428</v>
      </c>
      <c r="C2615" s="2" t="s">
        <v>59</v>
      </c>
      <c r="D2615" s="2" t="s">
        <v>18</v>
      </c>
      <c r="E2615" s="5">
        <v>-29292</v>
      </c>
      <c r="F2615" s="3" t="s">
        <v>875</v>
      </c>
      <c r="G2615" s="3" t="s">
        <v>28</v>
      </c>
      <c r="H2615" s="2" t="s">
        <v>65</v>
      </c>
      <c r="I2615" s="2" t="s">
        <v>6429</v>
      </c>
      <c r="J2615" s="3" t="str">
        <f>HYPERLINK("https://www.boe.es/gazeta/dias/1819/10/19/pdfs/GMD-1819-128.pdf#page=8","Abrir facsímil")</f>
        <v>Abrir facsímil</v>
      </c>
      <c r="K2615" s="3" t="s">
        <v>67</v>
      </c>
    </row>
    <row r="2616" spans="1:11" ht="42" customHeight="1">
      <c r="A2616" s="2" t="s">
        <v>6430</v>
      </c>
      <c r="B2616" s="2" t="s">
        <v>6431</v>
      </c>
      <c r="C2616" s="2" t="s">
        <v>17</v>
      </c>
      <c r="D2616" s="2" t="s">
        <v>18</v>
      </c>
      <c r="E2616" s="5">
        <v>-29358</v>
      </c>
      <c r="F2616" s="3" t="s">
        <v>170</v>
      </c>
      <c r="G2616" s="3" t="s">
        <v>38</v>
      </c>
      <c r="H2616" s="2" t="s">
        <v>65</v>
      </c>
      <c r="I2616" s="2" t="s">
        <v>6432</v>
      </c>
      <c r="J2616" s="3" t="str">
        <f>HYPERLINK("https://www.boe.es/gazeta/dias/1819/08/14/pdfs/GMD-1819-98.pdf#page=5","Abrir facsímil")</f>
        <v>Abrir facsímil</v>
      </c>
      <c r="K2616" s="3" t="s">
        <v>67</v>
      </c>
    </row>
    <row r="2617" spans="1:11" ht="42" customHeight="1">
      <c r="A2617" s="2" t="s">
        <v>6433</v>
      </c>
      <c r="B2617" s="2" t="s">
        <v>6434</v>
      </c>
      <c r="C2617" s="2" t="s">
        <v>80</v>
      </c>
      <c r="D2617" s="2" t="s">
        <v>81</v>
      </c>
      <c r="E2617" s="5">
        <v>-29264</v>
      </c>
      <c r="F2617" s="3" t="s">
        <v>37</v>
      </c>
      <c r="G2617" s="3" t="s">
        <v>20</v>
      </c>
      <c r="H2617" s="2" t="s">
        <v>65</v>
      </c>
      <c r="I2617" s="2" t="s">
        <v>6435</v>
      </c>
      <c r="J2617" s="3" t="str">
        <f>HYPERLINK("https://www.boe.es/gazeta/dias/1819/11/16/pdfs/GMD-1819-141.pdf#page=10","Abrir facsímil")</f>
        <v>Abrir facsímil</v>
      </c>
      <c r="K2617" s="3" t="s">
        <v>67</v>
      </c>
    </row>
    <row r="2618" spans="1:11" ht="42" customHeight="1">
      <c r="A2618" s="2" t="s">
        <v>6433</v>
      </c>
      <c r="B2618" s="2" t="s">
        <v>6434</v>
      </c>
      <c r="C2618" s="2" t="s">
        <v>80</v>
      </c>
      <c r="D2618" s="2" t="s">
        <v>81</v>
      </c>
      <c r="E2618" s="5">
        <v>-29264</v>
      </c>
      <c r="F2618" s="3" t="s">
        <v>37</v>
      </c>
      <c r="G2618" s="3" t="s">
        <v>456</v>
      </c>
      <c r="H2618" s="2" t="s">
        <v>65</v>
      </c>
      <c r="I2618" s="2" t="s">
        <v>6436</v>
      </c>
      <c r="J2618" s="3" t="str">
        <f>HYPERLINK("https://www.boe.es/gazeta/dias/1819/11/16/pdfs/GMD-1819-141.pdf#page=9","Abrir facsímil")</f>
        <v>Abrir facsímil</v>
      </c>
      <c r="K2618" s="3" t="s">
        <v>67</v>
      </c>
    </row>
    <row r="2619" spans="1:11" ht="42" customHeight="1">
      <c r="A2619" s="2" t="s">
        <v>6437</v>
      </c>
      <c r="B2619" s="2" t="s">
        <v>6438</v>
      </c>
      <c r="C2619" s="2" t="s">
        <v>63</v>
      </c>
      <c r="D2619" s="2" t="s">
        <v>43</v>
      </c>
      <c r="E2619" s="5">
        <v>-29465</v>
      </c>
      <c r="F2619" s="3" t="s">
        <v>1934</v>
      </c>
      <c r="G2619" s="3" t="s">
        <v>28</v>
      </c>
      <c r="H2619" s="2" t="s">
        <v>65</v>
      </c>
      <c r="I2619" s="2" t="s">
        <v>6439</v>
      </c>
      <c r="J2619" s="3" t="str">
        <f>HYPERLINK("https://www.boe.es/gazeta/dias/1819/04/29/pdfs/GMD-1819-51.pdf#page=8","Abrir facsímil")</f>
        <v>Abrir facsímil</v>
      </c>
      <c r="K2619" s="3" t="s">
        <v>67</v>
      </c>
    </row>
    <row r="2620" spans="1:11" ht="42" customHeight="1">
      <c r="A2620" s="2" t="s">
        <v>6440</v>
      </c>
      <c r="B2620" s="2" t="s">
        <v>6441</v>
      </c>
      <c r="C2620" s="2" t="s">
        <v>63</v>
      </c>
      <c r="D2620" s="2" t="s">
        <v>43</v>
      </c>
      <c r="E2620" s="5">
        <v>-29507</v>
      </c>
      <c r="F2620" s="3" t="s">
        <v>1928</v>
      </c>
      <c r="G2620" s="3" t="s">
        <v>28</v>
      </c>
      <c r="H2620" s="2" t="s">
        <v>65</v>
      </c>
      <c r="I2620" s="2" t="s">
        <v>6442</v>
      </c>
      <c r="J2620" s="3" t="str">
        <f>HYPERLINK("https://www.boe.es/gazeta/dias/1819/03/18/pdfs/GMD-1819-33.pdf#page=8","Abrir facsímil")</f>
        <v>Abrir facsímil</v>
      </c>
      <c r="K2620" s="3" t="s">
        <v>67</v>
      </c>
    </row>
    <row r="2621" spans="1:11" ht="42" customHeight="1">
      <c r="A2621" s="2" t="s">
        <v>6443</v>
      </c>
      <c r="B2621" s="2" t="s">
        <v>6444</v>
      </c>
      <c r="C2621" s="2" t="s">
        <v>63</v>
      </c>
      <c r="D2621" s="2" t="s">
        <v>43</v>
      </c>
      <c r="E2621" s="5">
        <v>-29435</v>
      </c>
      <c r="F2621" s="3" t="s">
        <v>191</v>
      </c>
      <c r="G2621" s="3" t="s">
        <v>55</v>
      </c>
      <c r="H2621" s="2" t="s">
        <v>65</v>
      </c>
      <c r="I2621" s="2" t="s">
        <v>6445</v>
      </c>
      <c r="J2621" s="3" t="str">
        <f>HYPERLINK("https://www.boe.es/gazeta/dias/1819/05/29/pdfs/GMD-1819-64.pdf#page=7","Abrir facsímil")</f>
        <v>Abrir facsímil</v>
      </c>
      <c r="K2621" s="3" t="s">
        <v>67</v>
      </c>
    </row>
    <row r="2622" spans="1:11" ht="42" customHeight="1">
      <c r="A2622" s="2" t="s">
        <v>6446</v>
      </c>
      <c r="B2622" s="2" t="s">
        <v>6446</v>
      </c>
      <c r="C2622" s="2" t="s">
        <v>246</v>
      </c>
      <c r="D2622" s="2" t="s">
        <v>18</v>
      </c>
      <c r="E2622" s="5">
        <v>-29425</v>
      </c>
      <c r="F2622" s="3" t="s">
        <v>110</v>
      </c>
      <c r="G2622" s="3" t="s">
        <v>259</v>
      </c>
      <c r="H2622" s="2" t="s">
        <v>65</v>
      </c>
      <c r="I2622" s="2" t="s">
        <v>6447</v>
      </c>
      <c r="J2622" s="3" t="str">
        <f>HYPERLINK("https://www.boe.es/gazeta/dias/1819/06/08/pdfs/GMD-1819-68.pdf#page=2","Abrir facsímil")</f>
        <v>Abrir facsímil</v>
      </c>
      <c r="K2622" s="3" t="s">
        <v>67</v>
      </c>
    </row>
    <row r="2623" spans="1:11" ht="42" customHeight="1">
      <c r="A2623" s="2" t="s">
        <v>6448</v>
      </c>
      <c r="B2623" s="2" t="s">
        <v>6449</v>
      </c>
      <c r="C2623" s="2" t="s">
        <v>26</v>
      </c>
      <c r="D2623" s="2" t="s">
        <v>18</v>
      </c>
      <c r="E2623" s="5">
        <v>-29325</v>
      </c>
      <c r="F2623" s="3" t="s">
        <v>174</v>
      </c>
      <c r="G2623" s="3" t="s">
        <v>55</v>
      </c>
      <c r="H2623" s="2" t="s">
        <v>65</v>
      </c>
      <c r="I2623" s="2" t="s">
        <v>6450</v>
      </c>
      <c r="J2623" s="3" t="str">
        <f>HYPERLINK("https://www.boe.es/gazeta/dias/1819/09/16/pdfs/GMD-1819-113.pdf#page=7","Abrir facsímil")</f>
        <v>Abrir facsímil</v>
      </c>
      <c r="K2623" s="3" t="s">
        <v>67</v>
      </c>
    </row>
    <row r="2624" spans="1:11" ht="42" customHeight="1">
      <c r="A2624" s="2" t="s">
        <v>6451</v>
      </c>
      <c r="B2624" s="2" t="s">
        <v>6452</v>
      </c>
      <c r="C2624" s="2" t="s">
        <v>80</v>
      </c>
      <c r="D2624" s="2" t="s">
        <v>81</v>
      </c>
      <c r="E2624" s="5">
        <v>-29232</v>
      </c>
      <c r="F2624" s="3" t="s">
        <v>752</v>
      </c>
      <c r="G2624" s="3" t="s">
        <v>33</v>
      </c>
      <c r="H2624" s="2" t="s">
        <v>65</v>
      </c>
      <c r="I2624" s="2" t="s">
        <v>6453</v>
      </c>
      <c r="J2624" s="3" t="str">
        <f>HYPERLINK("https://www.boe.es/gazeta/dias/1819/12/18/pdfs/GMD-1819-155.pdf#page=6","Abrir facsímil")</f>
        <v>Abrir facsímil</v>
      </c>
      <c r="K2624" s="3" t="s">
        <v>67</v>
      </c>
    </row>
    <row r="2625" spans="1:11" ht="42" customHeight="1">
      <c r="A2625" s="2" t="s">
        <v>6454</v>
      </c>
      <c r="B2625" s="2" t="s">
        <v>6455</v>
      </c>
      <c r="C2625" s="2" t="s">
        <v>80</v>
      </c>
      <c r="D2625" s="2" t="s">
        <v>81</v>
      </c>
      <c r="E2625" s="5">
        <v>-29248</v>
      </c>
      <c r="F2625" s="3" t="s">
        <v>395</v>
      </c>
      <c r="G2625" s="3" t="s">
        <v>1179</v>
      </c>
      <c r="H2625" s="2" t="s">
        <v>65</v>
      </c>
      <c r="I2625" s="2" t="s">
        <v>6456</v>
      </c>
      <c r="J2625" s="3" t="str">
        <f>HYPERLINK("https://www.boe.es/gazeta/dias/1819/12/02/pdfs/GMD-1819-148.pdf#page=10","Abrir facsímil")</f>
        <v>Abrir facsímil</v>
      </c>
      <c r="K2625" s="3" t="s">
        <v>67</v>
      </c>
    </row>
    <row r="2626" spans="1:11" ht="42" customHeight="1">
      <c r="A2626" s="2" t="s">
        <v>6457</v>
      </c>
      <c r="B2626" s="2" t="s">
        <v>6458</v>
      </c>
      <c r="C2626" s="2" t="s">
        <v>17</v>
      </c>
      <c r="D2626" s="2" t="s">
        <v>18</v>
      </c>
      <c r="E2626" s="5">
        <v>-29376</v>
      </c>
      <c r="F2626" s="3" t="s">
        <v>332</v>
      </c>
      <c r="G2626" s="3" t="s">
        <v>28</v>
      </c>
      <c r="H2626" s="2" t="s">
        <v>65</v>
      </c>
      <c r="I2626" s="2" t="s">
        <v>6459</v>
      </c>
      <c r="J2626" s="3" t="str">
        <f>HYPERLINK("https://www.boe.es/gazeta/dias/1819/07/27/pdfs/GMD-1819-90.pdf#page=8","Abrir facsímil")</f>
        <v>Abrir facsímil</v>
      </c>
      <c r="K2626" s="3" t="s">
        <v>67</v>
      </c>
    </row>
    <row r="2627" spans="1:11" ht="42" customHeight="1">
      <c r="A2627" s="2" t="s">
        <v>6460</v>
      </c>
      <c r="B2627" s="2" t="s">
        <v>6461</v>
      </c>
      <c r="C2627" s="2" t="s">
        <v>80</v>
      </c>
      <c r="D2627" s="2" t="s">
        <v>81</v>
      </c>
      <c r="E2627" s="5">
        <v>-29575</v>
      </c>
      <c r="F2627" s="3" t="s">
        <v>77</v>
      </c>
      <c r="G2627" s="3" t="s">
        <v>55</v>
      </c>
      <c r="H2627" s="2" t="s">
        <v>65</v>
      </c>
      <c r="I2627" s="2" t="s">
        <v>6462</v>
      </c>
      <c r="J2627" s="3" t="str">
        <f>HYPERLINK("https://www.boe.es/gazeta/dias/1819/01/09/pdfs/GMD-1819-4.pdf#page=7","Abrir facsímil")</f>
        <v>Abrir facsímil</v>
      </c>
      <c r="K2627" s="3" t="s">
        <v>67</v>
      </c>
    </row>
    <row r="2628" spans="1:11" ht="42" customHeight="1">
      <c r="A2628" s="2" t="s">
        <v>6463</v>
      </c>
      <c r="B2628" s="2" t="s">
        <v>6464</v>
      </c>
      <c r="C2628" s="2" t="s">
        <v>63</v>
      </c>
      <c r="D2628" s="2" t="s">
        <v>43</v>
      </c>
      <c r="E2628" s="5">
        <v>-29348</v>
      </c>
      <c r="F2628" s="3" t="s">
        <v>227</v>
      </c>
      <c r="G2628" s="3" t="s">
        <v>5715</v>
      </c>
      <c r="H2628" s="2" t="s">
        <v>65</v>
      </c>
      <c r="I2628" s="2" t="s">
        <v>6465</v>
      </c>
      <c r="J2628" s="3" t="str">
        <f>HYPERLINK("https://www.boe.es/gazeta/dias/1819/08/24/pdfs/GMD-1819-102.pdf#page=6","Abrir facsímil")</f>
        <v>Abrir facsímil</v>
      </c>
      <c r="K2628" s="3" t="s">
        <v>67</v>
      </c>
    </row>
    <row r="2629" spans="1:11" ht="42" customHeight="1">
      <c r="A2629" s="2" t="s">
        <v>6466</v>
      </c>
      <c r="B2629" s="2" t="s">
        <v>6467</v>
      </c>
      <c r="C2629" s="2" t="s">
        <v>59</v>
      </c>
      <c r="D2629" s="2" t="s">
        <v>18</v>
      </c>
      <c r="E2629" s="5">
        <v>-29425</v>
      </c>
      <c r="F2629" s="3" t="s">
        <v>110</v>
      </c>
      <c r="G2629" s="3" t="s">
        <v>55</v>
      </c>
      <c r="H2629" s="2" t="s">
        <v>65</v>
      </c>
      <c r="I2629" s="2" t="s">
        <v>6468</v>
      </c>
      <c r="J2629" s="3" t="str">
        <f>HYPERLINK("https://www.boe.es/gazeta/dias/1819/06/08/pdfs/GMD-1819-68.pdf#page=7","Abrir facsímil")</f>
        <v>Abrir facsímil</v>
      </c>
      <c r="K2629" s="3" t="s">
        <v>67</v>
      </c>
    </row>
    <row r="2630" spans="1:11" ht="42" customHeight="1">
      <c r="A2630" s="2" t="s">
        <v>6469</v>
      </c>
      <c r="B2630" s="2" t="s">
        <v>6470</v>
      </c>
      <c r="C2630" s="2" t="s">
        <v>80</v>
      </c>
      <c r="D2630" s="2" t="s">
        <v>81</v>
      </c>
      <c r="E2630" s="5">
        <v>-29374</v>
      </c>
      <c r="F2630" s="3" t="s">
        <v>204</v>
      </c>
      <c r="G2630" s="3" t="s">
        <v>55</v>
      </c>
      <c r="H2630" s="2" t="s">
        <v>65</v>
      </c>
      <c r="I2630" s="2" t="s">
        <v>6471</v>
      </c>
      <c r="J2630" s="3" t="str">
        <f>HYPERLINK("https://www.boe.es/gazeta/dias/1819/07/29/pdfs/GMD-1819-91.pdf#page=7","Abrir facsímil")</f>
        <v>Abrir facsímil</v>
      </c>
      <c r="K2630" s="3" t="s">
        <v>67</v>
      </c>
    </row>
    <row r="2631" spans="1:11" ht="42" customHeight="1">
      <c r="A2631" s="2" t="s">
        <v>6472</v>
      </c>
      <c r="B2631" s="2" t="s">
        <v>6472</v>
      </c>
      <c r="C2631" s="2" t="s">
        <v>17</v>
      </c>
      <c r="D2631" s="2" t="s">
        <v>18</v>
      </c>
      <c r="E2631" s="5">
        <v>-29430</v>
      </c>
      <c r="F2631" s="3" t="s">
        <v>178</v>
      </c>
      <c r="G2631" s="3" t="s">
        <v>28</v>
      </c>
      <c r="H2631" s="2" t="s">
        <v>65</v>
      </c>
      <c r="I2631" s="2" t="s">
        <v>6473</v>
      </c>
      <c r="J2631" s="3" t="str">
        <f>HYPERLINK("https://www.boe.es/gazeta/dias/1819/06/03/pdfs/GMD-1819-66.pdf#page=8","Abrir facsímil")</f>
        <v>Abrir facsímil</v>
      </c>
      <c r="K2631" s="3" t="s">
        <v>67</v>
      </c>
    </row>
    <row r="2632" spans="1:11" ht="42" customHeight="1">
      <c r="A2632" s="2" t="s">
        <v>6474</v>
      </c>
      <c r="B2632" s="2" t="s">
        <v>6475</v>
      </c>
      <c r="C2632" s="2" t="s">
        <v>17</v>
      </c>
      <c r="D2632" s="2" t="s">
        <v>18</v>
      </c>
      <c r="E2632" s="5">
        <v>-29264</v>
      </c>
      <c r="F2632" s="3" t="s">
        <v>37</v>
      </c>
      <c r="G2632" s="3" t="s">
        <v>38</v>
      </c>
      <c r="H2632" s="2" t="s">
        <v>65</v>
      </c>
      <c r="I2632" s="2" t="s">
        <v>6476</v>
      </c>
      <c r="J2632" s="3" t="str">
        <f>HYPERLINK("https://www.boe.es/gazeta/dias/1819/11/16/pdfs/GMD-1819-141.pdf#page=5","Abrir facsímil")</f>
        <v>Abrir facsímil</v>
      </c>
      <c r="K2632" s="3" t="s">
        <v>67</v>
      </c>
    </row>
    <row r="2633" spans="1:11" ht="42" customHeight="1">
      <c r="A2633" s="2" t="s">
        <v>6477</v>
      </c>
      <c r="B2633" s="2" t="s">
        <v>6478</v>
      </c>
      <c r="C2633" s="2" t="s">
        <v>80</v>
      </c>
      <c r="D2633" s="2" t="s">
        <v>81</v>
      </c>
      <c r="E2633" s="5">
        <v>-29465</v>
      </c>
      <c r="F2633" s="3" t="s">
        <v>1934</v>
      </c>
      <c r="G2633" s="3" t="s">
        <v>28</v>
      </c>
      <c r="H2633" s="2" t="s">
        <v>65</v>
      </c>
      <c r="I2633" s="2" t="s">
        <v>6479</v>
      </c>
      <c r="J2633" s="3" t="str">
        <f>HYPERLINK("https://www.boe.es/gazeta/dias/1819/04/29/pdfs/GMD-1819-51.pdf#page=8","Abrir facsímil")</f>
        <v>Abrir facsímil</v>
      </c>
      <c r="K2633" s="3" t="s">
        <v>67</v>
      </c>
    </row>
    <row r="2634" spans="1:11" ht="42" customHeight="1">
      <c r="A2634" s="2" t="s">
        <v>6477</v>
      </c>
      <c r="B2634" s="2" t="s">
        <v>6478</v>
      </c>
      <c r="C2634" s="2" t="s">
        <v>17</v>
      </c>
      <c r="D2634" s="2" t="s">
        <v>18</v>
      </c>
      <c r="E2634" s="5">
        <v>-29281</v>
      </c>
      <c r="F2634" s="3" t="s">
        <v>19</v>
      </c>
      <c r="G2634" s="3" t="s">
        <v>20</v>
      </c>
      <c r="H2634" s="2" t="s">
        <v>65</v>
      </c>
      <c r="I2634" s="2" t="s">
        <v>6480</v>
      </c>
      <c r="J2634" s="3" t="str">
        <f>HYPERLINK("https://www.boe.es/gazeta/dias/1819/10/30/pdfs/GMD-1819-134.pdf#page=10","Abrir facsímil")</f>
        <v>Abrir facsímil</v>
      </c>
      <c r="K2634" s="3" t="s">
        <v>67</v>
      </c>
    </row>
    <row r="2635" spans="1:11" ht="42" customHeight="1">
      <c r="A2635" s="2" t="s">
        <v>6481</v>
      </c>
      <c r="B2635" s="2" t="s">
        <v>6481</v>
      </c>
      <c r="C2635" s="2" t="s">
        <v>80</v>
      </c>
      <c r="D2635" s="2" t="s">
        <v>81</v>
      </c>
      <c r="E2635" s="5">
        <v>-29227</v>
      </c>
      <c r="F2635" s="3" t="s">
        <v>98</v>
      </c>
      <c r="G2635" s="3" t="s">
        <v>38</v>
      </c>
      <c r="H2635" s="2" t="s">
        <v>65</v>
      </c>
      <c r="I2635" s="2" t="s">
        <v>6482</v>
      </c>
      <c r="J2635" s="3" t="str">
        <f>HYPERLINK("https://www.boe.es/gazeta/dias/1819/12/23/pdfs/GMD-1819-157.pdf#page=5","Abrir facsímil")</f>
        <v>Abrir facsímil</v>
      </c>
      <c r="K2635" s="3" t="s">
        <v>67</v>
      </c>
    </row>
    <row r="2636" spans="1:11" ht="42" customHeight="1">
      <c r="A2636" s="2" t="s">
        <v>6483</v>
      </c>
      <c r="B2636" s="2" t="s">
        <v>6484</v>
      </c>
      <c r="C2636" s="2" t="s">
        <v>80</v>
      </c>
      <c r="D2636" s="2" t="s">
        <v>81</v>
      </c>
      <c r="E2636" s="5">
        <v>-29250</v>
      </c>
      <c r="F2636" s="3" t="s">
        <v>312</v>
      </c>
      <c r="G2636" s="3" t="s">
        <v>313</v>
      </c>
      <c r="H2636" s="2" t="s">
        <v>65</v>
      </c>
      <c r="I2636" s="2" t="s">
        <v>6485</v>
      </c>
      <c r="J2636" s="3" t="str">
        <f>HYPERLINK("https://www.boe.es/gazeta/dias/1819/11/30/pdfs/GMD-1819-147.pdf#page=8","Abrir facsímil")</f>
        <v>Abrir facsímil</v>
      </c>
      <c r="K2636" s="3" t="s">
        <v>67</v>
      </c>
    </row>
    <row r="2637" spans="1:11" ht="42" customHeight="1">
      <c r="A2637" s="2" t="s">
        <v>6486</v>
      </c>
      <c r="B2637" s="2" t="s">
        <v>6487</v>
      </c>
      <c r="C2637" s="2" t="s">
        <v>80</v>
      </c>
      <c r="D2637" s="2" t="s">
        <v>81</v>
      </c>
      <c r="E2637" s="5">
        <v>-29535</v>
      </c>
      <c r="F2637" s="3" t="s">
        <v>200</v>
      </c>
      <c r="G2637" s="3" t="s">
        <v>296</v>
      </c>
      <c r="H2637" s="2" t="s">
        <v>65</v>
      </c>
      <c r="I2637" s="2" t="s">
        <v>6488</v>
      </c>
      <c r="J2637" s="3" t="str">
        <f>HYPERLINK("https://www.boe.es/gazeta/dias/1819/02/18/pdfs/GMD-1819-21.pdf#page=4","Abrir facsímil")</f>
        <v>Abrir facsímil</v>
      </c>
      <c r="K2637" s="3" t="s">
        <v>67</v>
      </c>
    </row>
    <row r="2638" spans="1:11" ht="42" customHeight="1">
      <c r="A2638" s="2" t="s">
        <v>6486</v>
      </c>
      <c r="B2638" s="2" t="s">
        <v>6487</v>
      </c>
      <c r="C2638" s="2" t="s">
        <v>80</v>
      </c>
      <c r="D2638" s="2" t="s">
        <v>81</v>
      </c>
      <c r="E2638" s="5">
        <v>-29297</v>
      </c>
      <c r="F2638" s="3" t="s">
        <v>82</v>
      </c>
      <c r="G2638" s="3" t="s">
        <v>38</v>
      </c>
      <c r="H2638" s="2" t="s">
        <v>65</v>
      </c>
      <c r="I2638" s="2" t="s">
        <v>6489</v>
      </c>
      <c r="J2638" s="3" t="str">
        <f>HYPERLINK("https://www.boe.es/gazeta/dias/1819/10/14/pdfs/GMD-1819-126.pdf#page=5","Abrir facsímil")</f>
        <v>Abrir facsímil</v>
      </c>
      <c r="K2638" s="3" t="s">
        <v>67</v>
      </c>
    </row>
    <row r="2639" spans="1:11" ht="42" customHeight="1">
      <c r="A2639" s="2" t="s">
        <v>6486</v>
      </c>
      <c r="B2639" s="2" t="s">
        <v>6487</v>
      </c>
      <c r="C2639" s="2" t="s">
        <v>80</v>
      </c>
      <c r="D2639" s="2" t="s">
        <v>81</v>
      </c>
      <c r="E2639" s="5">
        <v>-29269</v>
      </c>
      <c r="F2639" s="3" t="s">
        <v>565</v>
      </c>
      <c r="G2639" s="3" t="s">
        <v>33</v>
      </c>
      <c r="H2639" s="2" t="s">
        <v>65</v>
      </c>
      <c r="I2639" s="2" t="s">
        <v>6490</v>
      </c>
      <c r="J2639" s="3" t="str">
        <f>HYPERLINK("https://www.boe.es/gazeta/dias/1819/11/11/pdfs/GMD-1819-139.pdf#page=6","Abrir facsímil")</f>
        <v>Abrir facsímil</v>
      </c>
      <c r="K2639" s="3" t="s">
        <v>67</v>
      </c>
    </row>
    <row r="2640" spans="1:11" ht="42" customHeight="1">
      <c r="A2640" s="2" t="s">
        <v>6486</v>
      </c>
      <c r="B2640" s="2" t="s">
        <v>6487</v>
      </c>
      <c r="C2640" s="2" t="s">
        <v>80</v>
      </c>
      <c r="D2640" s="2" t="s">
        <v>81</v>
      </c>
      <c r="E2640" s="5">
        <v>-29264</v>
      </c>
      <c r="F2640" s="3" t="s">
        <v>37</v>
      </c>
      <c r="G2640" s="3" t="s">
        <v>456</v>
      </c>
      <c r="H2640" s="2" t="s">
        <v>65</v>
      </c>
      <c r="I2640" s="2" t="s">
        <v>6491</v>
      </c>
      <c r="J2640" s="3" t="str">
        <f>HYPERLINK("https://www.boe.es/gazeta/dias/1819/11/16/pdfs/GMD-1819-141.pdf#page=9","Abrir facsímil")</f>
        <v>Abrir facsímil</v>
      </c>
      <c r="K2640" s="3" t="s">
        <v>67</v>
      </c>
    </row>
    <row r="2641" spans="1:11" ht="42" customHeight="1">
      <c r="A2641" s="2" t="s">
        <v>6486</v>
      </c>
      <c r="B2641" s="2" t="s">
        <v>6487</v>
      </c>
      <c r="C2641" s="2" t="s">
        <v>80</v>
      </c>
      <c r="D2641" s="2" t="s">
        <v>81</v>
      </c>
      <c r="E2641" s="5">
        <v>-29262</v>
      </c>
      <c r="F2641" s="3" t="s">
        <v>1428</v>
      </c>
      <c r="G2641" s="3" t="s">
        <v>33</v>
      </c>
      <c r="H2641" s="2" t="s">
        <v>65</v>
      </c>
      <c r="I2641" s="2" t="s">
        <v>6492</v>
      </c>
      <c r="J2641" s="3" t="str">
        <f>HYPERLINK("https://www.boe.es/gazeta/dias/1819/11/18/pdfs/GMD-1819-142.pdf#page=6","Abrir facsímil")</f>
        <v>Abrir facsímil</v>
      </c>
      <c r="K2641" s="3" t="s">
        <v>67</v>
      </c>
    </row>
    <row r="2642" spans="1:11" ht="42" customHeight="1">
      <c r="A2642" s="2" t="s">
        <v>6486</v>
      </c>
      <c r="B2642" s="2" t="s">
        <v>6487</v>
      </c>
      <c r="C2642" s="2" t="s">
        <v>80</v>
      </c>
      <c r="D2642" s="2" t="s">
        <v>81</v>
      </c>
      <c r="E2642" s="5">
        <v>-29260</v>
      </c>
      <c r="F2642" s="3" t="s">
        <v>93</v>
      </c>
      <c r="G2642" s="3" t="s">
        <v>94</v>
      </c>
      <c r="H2642" s="2" t="s">
        <v>65</v>
      </c>
      <c r="I2642" s="2" t="s">
        <v>6493</v>
      </c>
      <c r="J2642" s="3" t="str">
        <f>HYPERLINK("https://www.boe.es/gazeta/dias/1819/11/20/pdfs/GMD-1819-143.pdf#page=11","Abrir facsímil")</f>
        <v>Abrir facsímil</v>
      </c>
      <c r="K2642" s="3" t="s">
        <v>67</v>
      </c>
    </row>
    <row r="2643" spans="1:11" ht="42" customHeight="1">
      <c r="A2643" s="2" t="s">
        <v>6486</v>
      </c>
      <c r="B2643" s="2" t="s">
        <v>6487</v>
      </c>
      <c r="C2643" s="2" t="s">
        <v>80</v>
      </c>
      <c r="D2643" s="2" t="s">
        <v>81</v>
      </c>
      <c r="E2643" s="5">
        <v>-29260</v>
      </c>
      <c r="F2643" s="3" t="s">
        <v>93</v>
      </c>
      <c r="G2643" s="3" t="s">
        <v>55</v>
      </c>
      <c r="H2643" s="2" t="s">
        <v>65</v>
      </c>
      <c r="I2643" s="2" t="s">
        <v>6494</v>
      </c>
      <c r="J2643" s="3" t="str">
        <f>HYPERLINK("https://www.boe.es/gazeta/dias/1819/11/20/pdfs/GMD-1819-143.pdf#page=7","Abrir facsímil")</f>
        <v>Abrir facsímil</v>
      </c>
      <c r="K2643" s="3" t="s">
        <v>67</v>
      </c>
    </row>
    <row r="2644" spans="1:11" ht="42" customHeight="1">
      <c r="A2644" s="2" t="s">
        <v>6486</v>
      </c>
      <c r="B2644" s="2" t="s">
        <v>6487</v>
      </c>
      <c r="C2644" s="2" t="s">
        <v>80</v>
      </c>
      <c r="D2644" s="2" t="s">
        <v>81</v>
      </c>
      <c r="E2644" s="5">
        <v>-29248</v>
      </c>
      <c r="F2644" s="3" t="s">
        <v>395</v>
      </c>
      <c r="G2644" s="3" t="s">
        <v>28</v>
      </c>
      <c r="H2644" s="2" t="s">
        <v>65</v>
      </c>
      <c r="I2644" s="2" t="s">
        <v>6495</v>
      </c>
      <c r="J2644" s="3" t="str">
        <f>HYPERLINK("https://www.boe.es/gazeta/dias/1819/12/02/pdfs/GMD-1819-148.pdf#page=8","Abrir facsímil")</f>
        <v>Abrir facsímil</v>
      </c>
      <c r="K2644" s="3" t="s">
        <v>67</v>
      </c>
    </row>
    <row r="2645" spans="1:11" ht="42" customHeight="1">
      <c r="A2645" s="2" t="s">
        <v>6496</v>
      </c>
      <c r="B2645" s="2" t="s">
        <v>6497</v>
      </c>
      <c r="C2645" s="2" t="s">
        <v>63</v>
      </c>
      <c r="D2645" s="2" t="s">
        <v>43</v>
      </c>
      <c r="E2645" s="5">
        <v>-29220</v>
      </c>
      <c r="F2645" s="3" t="s">
        <v>397</v>
      </c>
      <c r="G2645" s="3" t="s">
        <v>28</v>
      </c>
      <c r="H2645" s="2" t="s">
        <v>65</v>
      </c>
      <c r="I2645" s="2" t="s">
        <v>6498</v>
      </c>
      <c r="J2645" s="3" t="str">
        <f>HYPERLINK("https://www.boe.es/gazeta/dias/1819/12/30/pdfs/GMD-1819-160.pdf#page=8","Abrir facsímil")</f>
        <v>Abrir facsímil</v>
      </c>
      <c r="K2645" s="3" t="s">
        <v>67</v>
      </c>
    </row>
    <row r="2646" spans="1:11" ht="42" customHeight="1">
      <c r="A2646" s="2" t="s">
        <v>6499</v>
      </c>
      <c r="B2646" s="2" t="s">
        <v>6500</v>
      </c>
      <c r="C2646" s="2" t="s">
        <v>63</v>
      </c>
      <c r="D2646" s="2" t="s">
        <v>43</v>
      </c>
      <c r="E2646" s="5">
        <v>-29243</v>
      </c>
      <c r="F2646" s="3" t="s">
        <v>2099</v>
      </c>
      <c r="G2646" s="3" t="s">
        <v>4722</v>
      </c>
      <c r="H2646" s="2" t="s">
        <v>65</v>
      </c>
      <c r="I2646" s="2" t="s">
        <v>6501</v>
      </c>
      <c r="J2646" s="3" t="str">
        <f>HYPERLINK("https://www.boe.es/gazeta/dias/1819/12/07/pdfs/GMD-1819-150.pdf#page=5","Abrir facsímil")</f>
        <v>Abrir facsímil</v>
      </c>
      <c r="K2646" s="3" t="s">
        <v>67</v>
      </c>
    </row>
    <row r="2647" spans="1:11" ht="42" customHeight="1">
      <c r="A2647" s="2" t="s">
        <v>6502</v>
      </c>
      <c r="B2647" s="2" t="s">
        <v>6503</v>
      </c>
      <c r="C2647" s="2" t="s">
        <v>80</v>
      </c>
      <c r="D2647" s="2" t="s">
        <v>81</v>
      </c>
      <c r="E2647" s="5">
        <v>-29446</v>
      </c>
      <c r="F2647" s="3" t="s">
        <v>773</v>
      </c>
      <c r="G2647" s="3" t="s">
        <v>774</v>
      </c>
      <c r="H2647" s="2" t="s">
        <v>65</v>
      </c>
      <c r="I2647" s="2" t="s">
        <v>6504</v>
      </c>
      <c r="J2647" s="3" t="str">
        <f>HYPERLINK("https://www.boe.es/gazeta/dias/1819/05/18/pdfs/GMD-1819-59.pdf#page=6","Abrir facsímil")</f>
        <v>Abrir facsímil</v>
      </c>
      <c r="K2647" s="3" t="s">
        <v>67</v>
      </c>
    </row>
    <row r="2648" spans="1:11" ht="42" customHeight="1">
      <c r="A2648" s="2" t="s">
        <v>6505</v>
      </c>
      <c r="B2648" s="2" t="s">
        <v>6506</v>
      </c>
      <c r="C2648" s="2" t="s">
        <v>80</v>
      </c>
      <c r="D2648" s="2" t="s">
        <v>81</v>
      </c>
      <c r="E2648" s="5">
        <v>-29444</v>
      </c>
      <c r="F2648" s="3" t="s">
        <v>258</v>
      </c>
      <c r="G2648" s="3" t="s">
        <v>33</v>
      </c>
      <c r="H2648" s="2" t="s">
        <v>65</v>
      </c>
      <c r="I2648" s="2" t="s">
        <v>6507</v>
      </c>
      <c r="J2648" s="3" t="str">
        <f>HYPERLINK("https://www.boe.es/gazeta/dias/1819/05/20/pdfs/GMD-1819-60.pdf#page=6","Abrir facsímil")</f>
        <v>Abrir facsímil</v>
      </c>
      <c r="K2648" s="3" t="s">
        <v>67</v>
      </c>
    </row>
    <row r="2649" spans="1:11" ht="42" customHeight="1">
      <c r="A2649" s="2" t="s">
        <v>6508</v>
      </c>
      <c r="B2649" s="2" t="s">
        <v>6509</v>
      </c>
      <c r="C2649" s="2" t="s">
        <v>59</v>
      </c>
      <c r="D2649" s="2" t="s">
        <v>18</v>
      </c>
      <c r="E2649" s="5">
        <v>-29537</v>
      </c>
      <c r="F2649" s="3" t="s">
        <v>593</v>
      </c>
      <c r="G2649" s="3" t="s">
        <v>20</v>
      </c>
      <c r="H2649" s="2" t="s">
        <v>65</v>
      </c>
      <c r="I2649" s="2" t="s">
        <v>6510</v>
      </c>
      <c r="J2649" s="3" t="str">
        <f>HYPERLINK("https://www.boe.es/gazeta/dias/1819/02/16/pdfs/GMD-1819-20.pdf#page=10","Abrir facsímil")</f>
        <v>Abrir facsímil</v>
      </c>
      <c r="K2649" s="3" t="s">
        <v>67</v>
      </c>
    </row>
    <row r="2650" spans="1:11" ht="42" customHeight="1">
      <c r="A2650" s="2" t="s">
        <v>6511</v>
      </c>
      <c r="B2650" s="2" t="s">
        <v>6512</v>
      </c>
      <c r="C2650" s="2" t="s">
        <v>80</v>
      </c>
      <c r="D2650" s="2" t="s">
        <v>81</v>
      </c>
      <c r="E2650" s="5">
        <v>-29304</v>
      </c>
      <c r="F2650" s="3" t="s">
        <v>519</v>
      </c>
      <c r="G2650" s="3" t="s">
        <v>38</v>
      </c>
      <c r="H2650" s="2" t="s">
        <v>65</v>
      </c>
      <c r="I2650" s="2" t="s">
        <v>6513</v>
      </c>
      <c r="J2650" s="3" t="str">
        <f>HYPERLINK("https://www.boe.es/gazeta/dias/1819/10/07/pdfs/GMD-1819-123.pdf#page=5","Abrir facsímil")</f>
        <v>Abrir facsímil</v>
      </c>
      <c r="K2650" s="3" t="s">
        <v>67</v>
      </c>
    </row>
    <row r="2651" spans="1:11" ht="42" customHeight="1">
      <c r="A2651" s="2" t="s">
        <v>6514</v>
      </c>
      <c r="B2651" s="2" t="s">
        <v>6515</v>
      </c>
      <c r="C2651" s="2" t="s">
        <v>63</v>
      </c>
      <c r="D2651" s="2" t="s">
        <v>43</v>
      </c>
      <c r="E2651" s="5">
        <v>-29519</v>
      </c>
      <c r="F2651" s="3" t="s">
        <v>142</v>
      </c>
      <c r="G2651" s="3" t="s">
        <v>28</v>
      </c>
      <c r="H2651" s="2" t="s">
        <v>65</v>
      </c>
      <c r="I2651" s="2" t="s">
        <v>6516</v>
      </c>
      <c r="J2651" s="3" t="str">
        <f>HYPERLINK("https://www.boe.es/gazeta/dias/1819/03/06/pdfs/GMD-1819-28.pdf#page=8","Abrir facsímil")</f>
        <v>Abrir facsímil</v>
      </c>
      <c r="K2651" s="3" t="s">
        <v>67</v>
      </c>
    </row>
    <row r="2652" spans="1:11" ht="42" customHeight="1">
      <c r="A2652" s="2" t="s">
        <v>6517</v>
      </c>
      <c r="B2652" s="2" t="s">
        <v>6518</v>
      </c>
      <c r="C2652" s="2" t="s">
        <v>63</v>
      </c>
      <c r="D2652" s="2" t="s">
        <v>43</v>
      </c>
      <c r="E2652" s="5">
        <v>-29558</v>
      </c>
      <c r="F2652" s="3" t="s">
        <v>1463</v>
      </c>
      <c r="G2652" s="3" t="s">
        <v>38</v>
      </c>
      <c r="H2652" s="2" t="s">
        <v>65</v>
      </c>
      <c r="I2652" s="2" t="s">
        <v>6519</v>
      </c>
      <c r="J2652" s="3" t="str">
        <f>HYPERLINK("https://www.boe.es/gazeta/dias/1819/01/26/pdfs/GMD-1819-11.pdf#page=5","Abrir facsímil")</f>
        <v>Abrir facsímil</v>
      </c>
      <c r="K2652" s="3" t="s">
        <v>67</v>
      </c>
    </row>
    <row r="2653" spans="1:11" ht="42" customHeight="1">
      <c r="A2653" s="2" t="s">
        <v>6520</v>
      </c>
      <c r="B2653" s="2" t="s">
        <v>6521</v>
      </c>
      <c r="C2653" s="2" t="s">
        <v>59</v>
      </c>
      <c r="D2653" s="2" t="s">
        <v>18</v>
      </c>
      <c r="E2653" s="5">
        <v>-29316</v>
      </c>
      <c r="F2653" s="3" t="s">
        <v>166</v>
      </c>
      <c r="G2653" s="3" t="s">
        <v>28</v>
      </c>
      <c r="H2653" s="2" t="s">
        <v>65</v>
      </c>
      <c r="I2653" s="2" t="s">
        <v>6522</v>
      </c>
      <c r="J2653" s="3" t="str">
        <f>HYPERLINK("https://www.boe.es/gazeta/dias/1819/09/25/pdfs/GMD-1819-118.pdf#page=8","Abrir facsímil")</f>
        <v>Abrir facsímil</v>
      </c>
      <c r="K2653" s="3" t="s">
        <v>67</v>
      </c>
    </row>
    <row r="2654" spans="1:11" ht="42" customHeight="1">
      <c r="A2654" s="2" t="s">
        <v>6523</v>
      </c>
      <c r="B2654" s="2" t="s">
        <v>6524</v>
      </c>
      <c r="C2654" s="2" t="s">
        <v>63</v>
      </c>
      <c r="D2654" s="2" t="s">
        <v>43</v>
      </c>
      <c r="E2654" s="5">
        <v>-29379</v>
      </c>
      <c r="F2654" s="3" t="s">
        <v>161</v>
      </c>
      <c r="G2654" s="3" t="s">
        <v>33</v>
      </c>
      <c r="H2654" s="2" t="s">
        <v>65</v>
      </c>
      <c r="I2654" s="2" t="s">
        <v>6525</v>
      </c>
      <c r="J2654" s="3" t="str">
        <f>HYPERLINK("https://www.boe.es/gazeta/dias/1819/07/24/pdfs/GMD-1819-89.pdf#page=6","Abrir facsímil")</f>
        <v>Abrir facsímil</v>
      </c>
      <c r="K2654" s="3" t="s">
        <v>67</v>
      </c>
    </row>
    <row r="2655" spans="1:11" ht="42" customHeight="1">
      <c r="A2655" s="2" t="s">
        <v>6526</v>
      </c>
      <c r="B2655" s="2" t="s">
        <v>6527</v>
      </c>
      <c r="C2655" s="2" t="s">
        <v>59</v>
      </c>
      <c r="D2655" s="2" t="s">
        <v>18</v>
      </c>
      <c r="E2655" s="5">
        <v>-29325</v>
      </c>
      <c r="F2655" s="3" t="s">
        <v>174</v>
      </c>
      <c r="G2655" s="3" t="s">
        <v>2480</v>
      </c>
      <c r="H2655" s="2" t="s">
        <v>65</v>
      </c>
      <c r="I2655" s="2" t="s">
        <v>6528</v>
      </c>
      <c r="J2655" s="3" t="str">
        <f>HYPERLINK("https://www.boe.es/gazeta/dias/1819/09/16/pdfs/GMD-1819-113.pdf#page=5","Abrir facsímil")</f>
        <v>Abrir facsímil</v>
      </c>
      <c r="K2655" s="3" t="s">
        <v>67</v>
      </c>
    </row>
    <row r="2656" spans="1:11" ht="42" customHeight="1">
      <c r="A2656" s="2" t="s">
        <v>6529</v>
      </c>
      <c r="B2656" s="2" t="s">
        <v>6530</v>
      </c>
      <c r="C2656" s="2" t="s">
        <v>26</v>
      </c>
      <c r="D2656" s="2" t="s">
        <v>18</v>
      </c>
      <c r="E2656" s="5">
        <v>-29325</v>
      </c>
      <c r="F2656" s="3" t="s">
        <v>174</v>
      </c>
      <c r="G2656" s="3" t="s">
        <v>2480</v>
      </c>
      <c r="H2656" s="2" t="s">
        <v>65</v>
      </c>
      <c r="I2656" s="2" t="s">
        <v>6531</v>
      </c>
      <c r="J2656" s="3" t="str">
        <f>HYPERLINK("https://www.boe.es/gazeta/dias/1819/09/16/pdfs/GMD-1819-113.pdf#page=5","Abrir facsímil")</f>
        <v>Abrir facsímil</v>
      </c>
      <c r="K2656" s="3" t="s">
        <v>67</v>
      </c>
    </row>
    <row r="2657" spans="1:11" ht="42" customHeight="1">
      <c r="A2657" s="2" t="s">
        <v>6532</v>
      </c>
      <c r="B2657" s="2" t="s">
        <v>6533</v>
      </c>
      <c r="C2657" s="2" t="s">
        <v>26</v>
      </c>
      <c r="D2657" s="2" t="s">
        <v>18</v>
      </c>
      <c r="E2657" s="5">
        <v>-29554</v>
      </c>
      <c r="F2657" s="3" t="s">
        <v>150</v>
      </c>
      <c r="G2657" s="3" t="s">
        <v>28</v>
      </c>
      <c r="H2657" s="2" t="s">
        <v>65</v>
      </c>
      <c r="I2657" s="2" t="s">
        <v>6534</v>
      </c>
      <c r="J2657" s="3" t="str">
        <f>HYPERLINK("https://www.boe.es/gazeta/dias/1819/01/30/pdfs/GMD-1819-13.pdf#page=8","Abrir facsímil")</f>
        <v>Abrir facsímil</v>
      </c>
      <c r="K2657" s="3" t="s">
        <v>67</v>
      </c>
    </row>
    <row r="2658" spans="1:11" ht="42" customHeight="1">
      <c r="A2658" s="2" t="s">
        <v>6535</v>
      </c>
      <c r="B2658" s="2" t="s">
        <v>6535</v>
      </c>
      <c r="C2658" s="2" t="s">
        <v>80</v>
      </c>
      <c r="D2658" s="2" t="s">
        <v>81</v>
      </c>
      <c r="E2658" s="5">
        <v>-29397</v>
      </c>
      <c r="F2658" s="3" t="s">
        <v>599</v>
      </c>
      <c r="G2658" s="3" t="s">
        <v>102</v>
      </c>
      <c r="H2658" s="2" t="s">
        <v>65</v>
      </c>
      <c r="I2658" s="2" t="s">
        <v>6536</v>
      </c>
      <c r="J2658" s="3" t="str">
        <f>HYPERLINK("https://www.boe.es/gazeta/dias/1819/07/06/pdfs/GMD-1819-81.pdf#page=3","Abrir facsímil")</f>
        <v>Abrir facsímil</v>
      </c>
      <c r="K2658" s="3" t="s">
        <v>67</v>
      </c>
    </row>
    <row r="2659" spans="1:11" ht="42" customHeight="1">
      <c r="A2659" s="2" t="s">
        <v>6537</v>
      </c>
      <c r="B2659" s="2" t="s">
        <v>6537</v>
      </c>
      <c r="C2659" s="2" t="s">
        <v>246</v>
      </c>
      <c r="D2659" s="2" t="s">
        <v>18</v>
      </c>
      <c r="E2659" s="5">
        <v>-29572</v>
      </c>
      <c r="F2659" s="3" t="s">
        <v>589</v>
      </c>
      <c r="G2659" s="3" t="s">
        <v>1252</v>
      </c>
      <c r="H2659" s="2" t="s">
        <v>65</v>
      </c>
      <c r="I2659" s="2" t="s">
        <v>6538</v>
      </c>
      <c r="J2659" s="3" t="str">
        <f>HYPERLINK("https://www.boe.es/gazeta/dias/1819/01/12/pdfs/GMD-1819-5.pdf#page=2","Abrir facsímil")</f>
        <v>Abrir facsímil</v>
      </c>
      <c r="K2659" s="3" t="s">
        <v>67</v>
      </c>
    </row>
    <row r="2660" spans="1:11" ht="42" customHeight="1">
      <c r="A2660" s="2" t="s">
        <v>6537</v>
      </c>
      <c r="B2660" s="2" t="s">
        <v>6537</v>
      </c>
      <c r="C2660" s="2" t="s">
        <v>63</v>
      </c>
      <c r="D2660" s="2" t="s">
        <v>43</v>
      </c>
      <c r="E2660" s="5">
        <v>-29568</v>
      </c>
      <c r="F2660" s="3" t="s">
        <v>966</v>
      </c>
      <c r="G2660" s="3" t="s">
        <v>102</v>
      </c>
      <c r="H2660" s="2" t="s">
        <v>65</v>
      </c>
      <c r="I2660" s="2" t="s">
        <v>6539</v>
      </c>
      <c r="J2660" s="3" t="str">
        <f>HYPERLINK("https://www.boe.es/gazeta/dias/1819/01/16/pdfs/GMD-1819-7.pdf#page=3","Abrir facsímil")</f>
        <v>Abrir facsímil</v>
      </c>
      <c r="K2660" s="3" t="s">
        <v>67</v>
      </c>
    </row>
    <row r="2661" spans="1:11" ht="42" customHeight="1">
      <c r="A2661" s="2" t="s">
        <v>6537</v>
      </c>
      <c r="B2661" s="2" t="s">
        <v>6537</v>
      </c>
      <c r="C2661" s="2" t="s">
        <v>63</v>
      </c>
      <c r="D2661" s="2" t="s">
        <v>43</v>
      </c>
      <c r="E2661" s="5">
        <v>-29435</v>
      </c>
      <c r="F2661" s="3" t="s">
        <v>191</v>
      </c>
      <c r="G2661" s="3" t="s">
        <v>102</v>
      </c>
      <c r="H2661" s="2" t="s">
        <v>65</v>
      </c>
      <c r="I2661" s="2" t="s">
        <v>6540</v>
      </c>
      <c r="J2661" s="3" t="str">
        <f>HYPERLINK("https://www.boe.es/gazeta/dias/1819/05/29/pdfs/GMD-1819-64.pdf#page=3","Abrir facsímil")</f>
        <v>Abrir facsímil</v>
      </c>
      <c r="K2661" s="3" t="s">
        <v>67</v>
      </c>
    </row>
    <row r="2662" spans="1:11" ht="42" customHeight="1">
      <c r="A2662" s="2" t="s">
        <v>6537</v>
      </c>
      <c r="B2662" s="2" t="s">
        <v>6537</v>
      </c>
      <c r="C2662" s="2" t="s">
        <v>63</v>
      </c>
      <c r="D2662" s="2" t="s">
        <v>43</v>
      </c>
      <c r="E2662" s="5">
        <v>-29432</v>
      </c>
      <c r="F2662" s="3" t="s">
        <v>1967</v>
      </c>
      <c r="G2662" s="3" t="s">
        <v>259</v>
      </c>
      <c r="H2662" s="2" t="s">
        <v>65</v>
      </c>
      <c r="I2662" s="2" t="s">
        <v>6541</v>
      </c>
      <c r="J2662" s="3" t="str">
        <f>HYPERLINK("https://www.boe.es/gazeta/dias/1819/06/01/pdfs/GMD-1819-65.pdf#page=2","Abrir facsímil")</f>
        <v>Abrir facsímil</v>
      </c>
      <c r="K2662" s="3" t="s">
        <v>67</v>
      </c>
    </row>
    <row r="2663" spans="1:11" ht="42" customHeight="1">
      <c r="A2663" s="2" t="s">
        <v>6537</v>
      </c>
      <c r="B2663" s="2" t="s">
        <v>6537</v>
      </c>
      <c r="C2663" s="2" t="s">
        <v>80</v>
      </c>
      <c r="D2663" s="2" t="s">
        <v>81</v>
      </c>
      <c r="E2663" s="5">
        <v>-29299</v>
      </c>
      <c r="F2663" s="3" t="s">
        <v>798</v>
      </c>
      <c r="G2663" s="3" t="s">
        <v>239</v>
      </c>
      <c r="H2663" s="2" t="s">
        <v>65</v>
      </c>
      <c r="I2663" s="2" t="s">
        <v>6542</v>
      </c>
      <c r="J2663" s="3" t="str">
        <f>HYPERLINK("https://www.boe.es/gazeta/dias/1819/10/12/pdfs/GMD-1819-125.pdf#page=1","Abrir facsímil")</f>
        <v>Abrir facsímil</v>
      </c>
      <c r="K2663" s="3" t="s">
        <v>67</v>
      </c>
    </row>
    <row r="2664" spans="1:11" ht="42" customHeight="1">
      <c r="A2664" s="2" t="s">
        <v>6537</v>
      </c>
      <c r="B2664" s="2" t="s">
        <v>6537</v>
      </c>
      <c r="C2664" s="2" t="s">
        <v>136</v>
      </c>
      <c r="D2664" s="2" t="s">
        <v>18</v>
      </c>
      <c r="E2664" s="5">
        <v>-29297</v>
      </c>
      <c r="F2664" s="3" t="s">
        <v>82</v>
      </c>
      <c r="G2664" s="3" t="s">
        <v>102</v>
      </c>
      <c r="H2664" s="2" t="s">
        <v>65</v>
      </c>
      <c r="I2664" s="2" t="s">
        <v>6543</v>
      </c>
      <c r="J2664" s="3" t="str">
        <f>HYPERLINK("https://www.boe.es/gazeta/dias/1819/10/14/pdfs/GMD-1819-126.pdf#page=3","Abrir facsímil")</f>
        <v>Abrir facsímil</v>
      </c>
      <c r="K2664" s="3" t="s">
        <v>67</v>
      </c>
    </row>
    <row r="2665" spans="1:11" ht="42" customHeight="1">
      <c r="A2665" s="2" t="s">
        <v>6537</v>
      </c>
      <c r="B2665" s="2" t="s">
        <v>6537</v>
      </c>
      <c r="C2665" s="2" t="s">
        <v>26</v>
      </c>
      <c r="D2665" s="2" t="s">
        <v>18</v>
      </c>
      <c r="E2665" s="5">
        <v>-29248</v>
      </c>
      <c r="F2665" s="3" t="s">
        <v>395</v>
      </c>
      <c r="G2665" s="3" t="s">
        <v>259</v>
      </c>
      <c r="H2665" s="2" t="s">
        <v>65</v>
      </c>
      <c r="I2665" s="2" t="s">
        <v>6544</v>
      </c>
      <c r="J2665" s="3" t="str">
        <f>HYPERLINK("https://www.boe.es/gazeta/dias/1819/12/02/pdfs/GMD-1819-148.pdf#page=2","Abrir facsímil")</f>
        <v>Abrir facsímil</v>
      </c>
      <c r="K2665" s="3" t="s">
        <v>67</v>
      </c>
    </row>
    <row r="2666" spans="1:11" ht="42" customHeight="1">
      <c r="A2666" s="2" t="s">
        <v>6537</v>
      </c>
      <c r="B2666" s="2" t="s">
        <v>6537</v>
      </c>
      <c r="C2666" s="2" t="s">
        <v>59</v>
      </c>
      <c r="D2666" s="2" t="s">
        <v>18</v>
      </c>
      <c r="E2666" s="5">
        <v>-29220</v>
      </c>
      <c r="F2666" s="3" t="s">
        <v>397</v>
      </c>
      <c r="G2666" s="3" t="s">
        <v>4576</v>
      </c>
      <c r="H2666" s="2" t="s">
        <v>65</v>
      </c>
      <c r="I2666" s="2" t="s">
        <v>6545</v>
      </c>
      <c r="J2666" s="3" t="str">
        <f>HYPERLINK("https://www.boe.es/gazeta/dias/1819/12/30/pdfs/GMD-1819-160.pdf#page=1","Abrir facsímil")</f>
        <v>Abrir facsímil</v>
      </c>
      <c r="K2666" s="3" t="s">
        <v>67</v>
      </c>
    </row>
    <row r="2667" spans="1:11" ht="42" customHeight="1">
      <c r="A2667" s="2" t="s">
        <v>6546</v>
      </c>
      <c r="B2667" s="2" t="s">
        <v>6547</v>
      </c>
      <c r="C2667" s="2" t="s">
        <v>63</v>
      </c>
      <c r="D2667" s="2" t="s">
        <v>43</v>
      </c>
      <c r="E2667" s="5">
        <v>-29246</v>
      </c>
      <c r="F2667" s="3" t="s">
        <v>494</v>
      </c>
      <c r="G2667" s="3" t="s">
        <v>5787</v>
      </c>
      <c r="H2667" s="2" t="s">
        <v>21</v>
      </c>
      <c r="I2667" s="2" t="s">
        <v>6548</v>
      </c>
      <c r="J2667" s="3" t="str">
        <f>HYPERLINK("https://www.boe.es/gazeta/dias/1819/12/04/pdfs/GMD-1819-149.pdf#page=5","Abrir facsímil")</f>
        <v>Abrir facsímil</v>
      </c>
      <c r="K2667" s="3" t="s">
        <v>23</v>
      </c>
    </row>
    <row r="2668" spans="1:11" ht="42" customHeight="1">
      <c r="A2668" s="2" t="s">
        <v>6549</v>
      </c>
      <c r="B2668" s="2" t="s">
        <v>6550</v>
      </c>
      <c r="C2668" s="2" t="s">
        <v>80</v>
      </c>
      <c r="D2668" s="2" t="s">
        <v>81</v>
      </c>
      <c r="E2668" s="5">
        <v>-29334</v>
      </c>
      <c r="F2668" s="3" t="s">
        <v>3082</v>
      </c>
      <c r="G2668" s="3" t="s">
        <v>6551</v>
      </c>
      <c r="H2668" s="2" t="s">
        <v>21</v>
      </c>
      <c r="I2668" s="2" t="s">
        <v>6552</v>
      </c>
      <c r="J2668" s="3" t="str">
        <f>HYPERLINK("https://www.boe.es/gazeta/dias/1819/09/07/pdfs/GMD-1819-109.pdf#page=4","Abrir facsímil")</f>
        <v>Abrir facsímil</v>
      </c>
      <c r="K2668" s="3" t="s">
        <v>23</v>
      </c>
    </row>
    <row r="2669" spans="1:11" ht="42" customHeight="1">
      <c r="A2669" s="2" t="s">
        <v>6553</v>
      </c>
      <c r="B2669" s="2" t="s">
        <v>6554</v>
      </c>
      <c r="C2669" s="2" t="s">
        <v>80</v>
      </c>
      <c r="D2669" s="2" t="s">
        <v>81</v>
      </c>
      <c r="E2669" s="5">
        <v>-29537</v>
      </c>
      <c r="F2669" s="3" t="s">
        <v>593</v>
      </c>
      <c r="G2669" s="3" t="s">
        <v>102</v>
      </c>
      <c r="H2669" s="2" t="s">
        <v>21</v>
      </c>
      <c r="I2669" s="2" t="s">
        <v>6555</v>
      </c>
      <c r="J2669" s="3" t="str">
        <f>HYPERLINK("https://www.boe.es/gazeta/dias/1819/02/16/pdfs/GMD-1819-20.pdf#page=3","Abrir facsímil")</f>
        <v>Abrir facsímil</v>
      </c>
      <c r="K2669" s="3" t="s">
        <v>23</v>
      </c>
    </row>
    <row r="2670" spans="1:11" ht="42" customHeight="1">
      <c r="A2670" s="2" t="s">
        <v>6556</v>
      </c>
      <c r="B2670" s="2" t="s">
        <v>6557</v>
      </c>
      <c r="C2670" s="2" t="s">
        <v>59</v>
      </c>
      <c r="D2670" s="2" t="s">
        <v>18</v>
      </c>
      <c r="E2670" s="5">
        <v>-29271</v>
      </c>
      <c r="F2670" s="3" t="s">
        <v>32</v>
      </c>
      <c r="G2670" s="3" t="s">
        <v>33</v>
      </c>
      <c r="H2670" s="2" t="s">
        <v>65</v>
      </c>
      <c r="I2670" s="2" t="s">
        <v>6558</v>
      </c>
      <c r="J2670" s="3" t="str">
        <f>HYPERLINK("https://www.boe.es/gazeta/dias/1819/11/09/pdfs/GMD-1819-138.pdf#page=6","Abrir facsímil")</f>
        <v>Abrir facsímil</v>
      </c>
      <c r="K2670" s="3" t="s">
        <v>67</v>
      </c>
    </row>
    <row r="2671" spans="1:11" ht="42" customHeight="1">
      <c r="A2671" s="2" t="s">
        <v>6559</v>
      </c>
      <c r="B2671" s="2" t="s">
        <v>6560</v>
      </c>
      <c r="C2671" s="2" t="s">
        <v>26</v>
      </c>
      <c r="D2671" s="2" t="s">
        <v>18</v>
      </c>
      <c r="E2671" s="5">
        <v>-29332</v>
      </c>
      <c r="F2671" s="3" t="s">
        <v>499</v>
      </c>
      <c r="G2671" s="3" t="s">
        <v>38</v>
      </c>
      <c r="H2671" s="2" t="s">
        <v>65</v>
      </c>
      <c r="I2671" s="2" t="s">
        <v>6561</v>
      </c>
      <c r="J2671" s="3" t="str">
        <f>HYPERLINK("https://www.boe.es/gazeta/dias/1819/09/09/pdfs/GMD-1819-110.pdf#page=5","Abrir facsímil")</f>
        <v>Abrir facsímil</v>
      </c>
      <c r="K2671" s="3" t="s">
        <v>67</v>
      </c>
    </row>
    <row r="2672" spans="1:11" ht="42" customHeight="1">
      <c r="A2672" s="2" t="s">
        <v>6562</v>
      </c>
      <c r="B2672" s="2" t="s">
        <v>6563</v>
      </c>
      <c r="C2672" s="2" t="s">
        <v>80</v>
      </c>
      <c r="D2672" s="2" t="s">
        <v>81</v>
      </c>
      <c r="E2672" s="5">
        <v>-29276</v>
      </c>
      <c r="F2672" s="3" t="s">
        <v>54</v>
      </c>
      <c r="G2672" s="3" t="s">
        <v>1107</v>
      </c>
      <c r="H2672" s="2" t="s">
        <v>65</v>
      </c>
      <c r="I2672" s="2" t="s">
        <v>6564</v>
      </c>
      <c r="J2672" s="3" t="str">
        <f>HYPERLINK("https://www.boe.es/gazeta/dias/1819/11/04/pdfs/GMD-1819-136.pdf#page=5","Abrir facsímil")</f>
        <v>Abrir facsímil</v>
      </c>
      <c r="K2672" s="3" t="s">
        <v>67</v>
      </c>
    </row>
    <row r="2673" spans="1:11" ht="42" customHeight="1">
      <c r="A2673" s="2" t="s">
        <v>6565</v>
      </c>
      <c r="B2673" s="2" t="s">
        <v>6566</v>
      </c>
      <c r="C2673" s="2" t="s">
        <v>26</v>
      </c>
      <c r="D2673" s="2" t="s">
        <v>18</v>
      </c>
      <c r="E2673" s="5">
        <v>-29241</v>
      </c>
      <c r="F2673" s="3" t="s">
        <v>1382</v>
      </c>
      <c r="G2673" s="3" t="s">
        <v>33</v>
      </c>
      <c r="H2673" s="2" t="s">
        <v>65</v>
      </c>
      <c r="I2673" s="2" t="s">
        <v>6567</v>
      </c>
      <c r="J2673" s="3" t="str">
        <f>HYPERLINK("https://www.boe.es/gazeta/dias/1819/12/09/pdfs/GMD-1819-151.pdf#page=6","Abrir facsímil")</f>
        <v>Abrir facsímil</v>
      </c>
      <c r="K2673" s="3" t="s">
        <v>67</v>
      </c>
    </row>
    <row r="2674" spans="1:11" ht="42" customHeight="1">
      <c r="A2674" s="2" t="s">
        <v>6568</v>
      </c>
      <c r="B2674" s="2" t="s">
        <v>6569</v>
      </c>
      <c r="C2674" s="2" t="s">
        <v>80</v>
      </c>
      <c r="D2674" s="2" t="s">
        <v>81</v>
      </c>
      <c r="E2674" s="5">
        <v>-29388</v>
      </c>
      <c r="F2674" s="3" t="s">
        <v>879</v>
      </c>
      <c r="G2674" s="3" t="s">
        <v>2554</v>
      </c>
      <c r="H2674" s="2" t="s">
        <v>65</v>
      </c>
      <c r="I2674" s="2" t="s">
        <v>6570</v>
      </c>
      <c r="J2674" s="3" t="str">
        <f>HYPERLINK("https://www.boe.es/gazeta/dias/1819/07/15/pdfs/GMD-1819-85.pdf#page=6","Abrir facsímil")</f>
        <v>Abrir facsímil</v>
      </c>
      <c r="K2674" s="3" t="s">
        <v>67</v>
      </c>
    </row>
    <row r="2675" spans="1:11" ht="42" customHeight="1">
      <c r="A2675" s="2" t="s">
        <v>6571</v>
      </c>
      <c r="B2675" s="2" t="s">
        <v>6572</v>
      </c>
      <c r="C2675" s="2" t="s">
        <v>26</v>
      </c>
      <c r="D2675" s="2" t="s">
        <v>18</v>
      </c>
      <c r="E2675" s="5">
        <v>-29430</v>
      </c>
      <c r="F2675" s="3" t="s">
        <v>178</v>
      </c>
      <c r="G2675" s="3" t="s">
        <v>28</v>
      </c>
      <c r="H2675" s="2" t="s">
        <v>65</v>
      </c>
      <c r="I2675" s="2" t="s">
        <v>6573</v>
      </c>
      <c r="J2675" s="3" t="str">
        <f>HYPERLINK("https://www.boe.es/gazeta/dias/1819/06/03/pdfs/GMD-1819-66.pdf#page=8","Abrir facsímil")</f>
        <v>Abrir facsímil</v>
      </c>
      <c r="K2675" s="3" t="s">
        <v>67</v>
      </c>
    </row>
    <row r="2676" spans="1:11" ht="42" customHeight="1">
      <c r="A2676" s="2" t="s">
        <v>6574</v>
      </c>
      <c r="B2676" s="2" t="s">
        <v>6575</v>
      </c>
      <c r="C2676" s="2" t="s">
        <v>80</v>
      </c>
      <c r="D2676" s="2" t="s">
        <v>81</v>
      </c>
      <c r="E2676" s="5">
        <v>-29456</v>
      </c>
      <c r="F2676" s="3" t="s">
        <v>468</v>
      </c>
      <c r="G2676" s="3" t="s">
        <v>55</v>
      </c>
      <c r="H2676" s="2" t="s">
        <v>65</v>
      </c>
      <c r="I2676" s="2" t="s">
        <v>6576</v>
      </c>
      <c r="J2676" s="3" t="str">
        <f>HYPERLINK("https://www.boe.es/gazeta/dias/1819/05/08/pdfs/GMD-1819-55.pdf#page=7","Abrir facsímil")</f>
        <v>Abrir facsímil</v>
      </c>
      <c r="K2676" s="3" t="s">
        <v>67</v>
      </c>
    </row>
    <row r="2677" spans="1:11" ht="42" customHeight="1">
      <c r="A2677" s="2" t="s">
        <v>6577</v>
      </c>
      <c r="B2677" s="2" t="s">
        <v>6578</v>
      </c>
      <c r="C2677" s="2" t="s">
        <v>80</v>
      </c>
      <c r="D2677" s="2" t="s">
        <v>81</v>
      </c>
      <c r="E2677" s="5">
        <v>-29435</v>
      </c>
      <c r="F2677" s="3" t="s">
        <v>191</v>
      </c>
      <c r="G2677" s="3" t="s">
        <v>33</v>
      </c>
      <c r="H2677" s="2" t="s">
        <v>65</v>
      </c>
      <c r="I2677" s="2" t="s">
        <v>6579</v>
      </c>
      <c r="J2677" s="3" t="str">
        <f>HYPERLINK("https://www.boe.es/gazeta/dias/1819/05/29/pdfs/GMD-1819-64.pdf#page=6","Abrir facsímil")</f>
        <v>Abrir facsímil</v>
      </c>
      <c r="K2677" s="3" t="s">
        <v>67</v>
      </c>
    </row>
    <row r="2678" spans="1:11" ht="42" customHeight="1">
      <c r="A2678" s="2" t="s">
        <v>6580</v>
      </c>
      <c r="B2678" s="2" t="s">
        <v>6581</v>
      </c>
      <c r="C2678" s="2" t="s">
        <v>80</v>
      </c>
      <c r="D2678" s="2" t="s">
        <v>81</v>
      </c>
      <c r="E2678" s="5">
        <v>-29563</v>
      </c>
      <c r="F2678" s="3" t="s">
        <v>1087</v>
      </c>
      <c r="G2678" s="3" t="s">
        <v>33</v>
      </c>
      <c r="H2678" s="2" t="s">
        <v>65</v>
      </c>
      <c r="I2678" s="2" t="s">
        <v>6582</v>
      </c>
      <c r="J2678" s="3" t="str">
        <f>HYPERLINK("https://www.boe.es/gazeta/dias/1819/01/21/pdfs/GMD-1819-9.pdf#page=6","Abrir facsímil")</f>
        <v>Abrir facsímil</v>
      </c>
      <c r="K2678" s="3" t="s">
        <v>67</v>
      </c>
    </row>
    <row r="2679" spans="1:11" ht="42" customHeight="1">
      <c r="A2679" s="2" t="s">
        <v>6583</v>
      </c>
      <c r="B2679" s="2" t="s">
        <v>6583</v>
      </c>
      <c r="C2679" s="2" t="s">
        <v>63</v>
      </c>
      <c r="D2679" s="2" t="s">
        <v>43</v>
      </c>
      <c r="E2679" s="5">
        <v>-29236</v>
      </c>
      <c r="F2679" s="3" t="s">
        <v>379</v>
      </c>
      <c r="G2679" s="3" t="s">
        <v>6584</v>
      </c>
      <c r="H2679" s="2" t="s">
        <v>65</v>
      </c>
      <c r="I2679" s="2" t="s">
        <v>6585</v>
      </c>
      <c r="J2679" s="3" t="str">
        <f>HYPERLINK("https://www.boe.es/gazeta/dias/1819/12/14/pdfs/GMD-1819-153.pdf#page=2","Abrir facsímil")</f>
        <v>Abrir facsímil</v>
      </c>
      <c r="K2679" s="3" t="s">
        <v>67</v>
      </c>
    </row>
    <row r="2680" spans="1:11" ht="42" customHeight="1">
      <c r="A2680" s="2" t="s">
        <v>6586</v>
      </c>
      <c r="B2680" s="2" t="s">
        <v>6587</v>
      </c>
      <c r="C2680" s="2" t="s">
        <v>80</v>
      </c>
      <c r="D2680" s="2" t="s">
        <v>81</v>
      </c>
      <c r="E2680" s="5">
        <v>-29544</v>
      </c>
      <c r="F2680" s="3" t="s">
        <v>531</v>
      </c>
      <c r="G2680" s="3" t="s">
        <v>33</v>
      </c>
      <c r="H2680" s="2" t="s">
        <v>65</v>
      </c>
      <c r="I2680" s="2" t="s">
        <v>6588</v>
      </c>
      <c r="J2680" s="3" t="str">
        <f>HYPERLINK("https://www.boe.es/gazeta/dias/1819/02/09/pdfs/GMD-1819-17.pdf#page=6","Abrir facsímil")</f>
        <v>Abrir facsímil</v>
      </c>
      <c r="K2680" s="3" t="s">
        <v>67</v>
      </c>
    </row>
    <row r="2681" spans="1:11" ht="42" customHeight="1">
      <c r="A2681" s="2" t="s">
        <v>6589</v>
      </c>
      <c r="B2681" s="2" t="s">
        <v>6590</v>
      </c>
      <c r="C2681" s="2" t="s">
        <v>80</v>
      </c>
      <c r="D2681" s="2" t="s">
        <v>454</v>
      </c>
      <c r="E2681" s="5">
        <v>-29287</v>
      </c>
      <c r="F2681" s="3" t="s">
        <v>455</v>
      </c>
      <c r="G2681" s="3" t="s">
        <v>1113</v>
      </c>
      <c r="H2681" s="2" t="s">
        <v>65</v>
      </c>
      <c r="I2681" s="2" t="s">
        <v>6591</v>
      </c>
      <c r="J2681" s="3" t="str">
        <f>HYPERLINK("https://www.boe.es/gazeta/dias/1819/10/24/pdfs/GMD-1819-131E.pdf#page=7","Abrir facsímil")</f>
        <v>Abrir facsímil</v>
      </c>
      <c r="K2681" s="3" t="s">
        <v>67</v>
      </c>
    </row>
    <row r="2682" spans="1:11" ht="42" customHeight="1">
      <c r="A2682" s="2" t="s">
        <v>6592</v>
      </c>
      <c r="B2682" s="2" t="s">
        <v>6593</v>
      </c>
      <c r="C2682" s="2" t="s">
        <v>26</v>
      </c>
      <c r="D2682" s="2" t="s">
        <v>18</v>
      </c>
      <c r="E2682" s="5">
        <v>-29325</v>
      </c>
      <c r="F2682" s="3" t="s">
        <v>174</v>
      </c>
      <c r="G2682" s="3" t="s">
        <v>2480</v>
      </c>
      <c r="H2682" s="2" t="s">
        <v>65</v>
      </c>
      <c r="I2682" s="2" t="s">
        <v>6594</v>
      </c>
      <c r="J2682" s="3" t="str">
        <f>HYPERLINK("https://www.boe.es/gazeta/dias/1819/09/16/pdfs/GMD-1819-113.pdf#page=5","Abrir facsímil")</f>
        <v>Abrir facsímil</v>
      </c>
      <c r="K2682" s="3" t="s">
        <v>67</v>
      </c>
    </row>
    <row r="2683" spans="1:11" ht="42" customHeight="1">
      <c r="A2683" s="2" t="s">
        <v>6595</v>
      </c>
      <c r="B2683" s="2" t="s">
        <v>6596</v>
      </c>
      <c r="C2683" s="2" t="s">
        <v>17</v>
      </c>
      <c r="D2683" s="2" t="s">
        <v>18</v>
      </c>
      <c r="E2683" s="5">
        <v>-29257</v>
      </c>
      <c r="F2683" s="3" t="s">
        <v>73</v>
      </c>
      <c r="G2683" s="3" t="s">
        <v>826</v>
      </c>
      <c r="H2683" s="2" t="s">
        <v>21</v>
      </c>
      <c r="I2683" s="2" t="s">
        <v>6597</v>
      </c>
      <c r="J2683" s="3" t="str">
        <f>HYPERLINK("https://www.boe.es/gazeta/dias/1819/11/23/pdfs/GMD-1819-144.pdf#page=11","Abrir facsímil")</f>
        <v>Abrir facsímil</v>
      </c>
      <c r="K2683" s="3" t="s">
        <v>23</v>
      </c>
    </row>
    <row r="2684" spans="1:11" ht="42" customHeight="1">
      <c r="A2684" s="2" t="s">
        <v>6598</v>
      </c>
      <c r="B2684" s="2" t="s">
        <v>6599</v>
      </c>
      <c r="C2684" s="2" t="s">
        <v>63</v>
      </c>
      <c r="D2684" s="2" t="s">
        <v>43</v>
      </c>
      <c r="E2684" s="5">
        <v>-29495</v>
      </c>
      <c r="F2684" s="3" t="s">
        <v>992</v>
      </c>
      <c r="G2684" s="3" t="s">
        <v>993</v>
      </c>
      <c r="H2684" s="2" t="s">
        <v>65</v>
      </c>
      <c r="I2684" s="2" t="s">
        <v>6600</v>
      </c>
      <c r="J2684" s="3" t="str">
        <f>HYPERLINK("https://www.boe.es/gazeta/dias/1819/03/30/pdfs/GMD-1819-38.pdf#page=12","Abrir facsímil")</f>
        <v>Abrir facsímil</v>
      </c>
      <c r="K2684" s="3" t="s">
        <v>67</v>
      </c>
    </row>
    <row r="2685" spans="1:11" ht="42" customHeight="1">
      <c r="A2685" s="2" t="s">
        <v>6601</v>
      </c>
      <c r="B2685" s="2" t="s">
        <v>6602</v>
      </c>
      <c r="C2685" s="2" t="s">
        <v>63</v>
      </c>
      <c r="D2685" s="2" t="s">
        <v>43</v>
      </c>
      <c r="E2685" s="5">
        <v>-29281</v>
      </c>
      <c r="F2685" s="3" t="s">
        <v>19</v>
      </c>
      <c r="G2685" s="3" t="s">
        <v>28</v>
      </c>
      <c r="H2685" s="2" t="s">
        <v>65</v>
      </c>
      <c r="I2685" s="2" t="s">
        <v>6603</v>
      </c>
      <c r="J2685" s="3" t="str">
        <f>HYPERLINK("https://www.boe.es/gazeta/dias/1819/10/30/pdfs/GMD-1819-134.pdf#page=8","Abrir facsímil")</f>
        <v>Abrir facsímil</v>
      </c>
      <c r="K2685" s="3" t="s">
        <v>67</v>
      </c>
    </row>
    <row r="2686" spans="1:11" ht="42" customHeight="1">
      <c r="A2686" s="2" t="s">
        <v>6604</v>
      </c>
      <c r="B2686" s="2" t="s">
        <v>6605</v>
      </c>
      <c r="C2686" s="2" t="s">
        <v>17</v>
      </c>
      <c r="D2686" s="2" t="s">
        <v>18</v>
      </c>
      <c r="E2686" s="5">
        <v>-29264</v>
      </c>
      <c r="F2686" s="3" t="s">
        <v>37</v>
      </c>
      <c r="G2686" s="3" t="s">
        <v>38</v>
      </c>
      <c r="H2686" s="2" t="s">
        <v>21</v>
      </c>
      <c r="I2686" s="2" t="s">
        <v>6606</v>
      </c>
      <c r="J2686" s="3" t="str">
        <f>HYPERLINK("https://www.boe.es/gazeta/dias/1819/11/16/pdfs/GMD-1819-141.pdf#page=5","Abrir facsímil")</f>
        <v>Abrir facsímil</v>
      </c>
      <c r="K2686" s="3" t="s">
        <v>23</v>
      </c>
    </row>
    <row r="2687" spans="1:11" ht="42" customHeight="1">
      <c r="A2687" s="2" t="s">
        <v>6607</v>
      </c>
      <c r="B2687" s="2" t="s">
        <v>6608</v>
      </c>
      <c r="C2687" s="2" t="s">
        <v>17</v>
      </c>
      <c r="D2687" s="2" t="s">
        <v>18</v>
      </c>
      <c r="E2687" s="5">
        <v>-29260</v>
      </c>
      <c r="F2687" s="3" t="s">
        <v>93</v>
      </c>
      <c r="G2687" s="3" t="s">
        <v>33</v>
      </c>
      <c r="H2687" s="2" t="s">
        <v>21</v>
      </c>
      <c r="I2687" s="2" t="s">
        <v>6609</v>
      </c>
      <c r="J2687" s="3" t="str">
        <f>HYPERLINK("https://www.boe.es/gazeta/dias/1819/11/20/pdfs/GMD-1819-143.pdf#page=6","Abrir facsímil")</f>
        <v>Abrir facsímil</v>
      </c>
      <c r="K2687" s="3" t="s">
        <v>23</v>
      </c>
    </row>
    <row r="2688" spans="1:11" ht="42" customHeight="1">
      <c r="A2688" s="2" t="s">
        <v>6610</v>
      </c>
      <c r="B2688" s="2" t="s">
        <v>6611</v>
      </c>
      <c r="C2688" s="2" t="s">
        <v>17</v>
      </c>
      <c r="D2688" s="2" t="s">
        <v>18</v>
      </c>
      <c r="E2688" s="5">
        <v>-29271</v>
      </c>
      <c r="F2688" s="3" t="s">
        <v>32</v>
      </c>
      <c r="G2688" s="3" t="s">
        <v>33</v>
      </c>
      <c r="H2688" s="2" t="s">
        <v>21</v>
      </c>
      <c r="I2688" s="2" t="s">
        <v>6612</v>
      </c>
      <c r="J2688" s="3" t="str">
        <f>HYPERLINK("https://www.boe.es/gazeta/dias/1819/11/09/pdfs/GMD-1819-138.pdf#page=6","Abrir facsímil")</f>
        <v>Abrir facsímil</v>
      </c>
      <c r="K2688" s="3" t="s">
        <v>23</v>
      </c>
    </row>
    <row r="2689" spans="1:11" ht="42" customHeight="1">
      <c r="A2689" s="2" t="s">
        <v>6613</v>
      </c>
      <c r="B2689" s="2" t="s">
        <v>6614</v>
      </c>
      <c r="C2689" s="2" t="s">
        <v>17</v>
      </c>
      <c r="D2689" s="2" t="s">
        <v>18</v>
      </c>
      <c r="E2689" s="5">
        <v>-29271</v>
      </c>
      <c r="F2689" s="3" t="s">
        <v>32</v>
      </c>
      <c r="G2689" s="3" t="s">
        <v>33</v>
      </c>
      <c r="H2689" s="2" t="s">
        <v>21</v>
      </c>
      <c r="I2689" s="2" t="s">
        <v>6615</v>
      </c>
      <c r="J2689" s="3" t="str">
        <f>HYPERLINK("https://www.boe.es/gazeta/dias/1819/11/09/pdfs/GMD-1819-138.pdf#page=6","Abrir facsímil")</f>
        <v>Abrir facsímil</v>
      </c>
      <c r="K2689" s="3" t="s">
        <v>23</v>
      </c>
    </row>
    <row r="2690" spans="1:11" ht="42" customHeight="1">
      <c r="A2690" s="2" t="s">
        <v>6613</v>
      </c>
      <c r="B2690" s="2" t="s">
        <v>6614</v>
      </c>
      <c r="C2690" s="2" t="s">
        <v>17</v>
      </c>
      <c r="D2690" s="2" t="s">
        <v>18</v>
      </c>
      <c r="E2690" s="5">
        <v>-29229</v>
      </c>
      <c r="F2690" s="3" t="s">
        <v>44</v>
      </c>
      <c r="G2690" s="3" t="s">
        <v>38</v>
      </c>
      <c r="H2690" s="2" t="s">
        <v>21</v>
      </c>
      <c r="I2690" s="2" t="s">
        <v>6616</v>
      </c>
      <c r="J2690" s="3" t="str">
        <f>HYPERLINK("https://www.boe.es/gazeta/dias/1819/12/21/pdfs/GMD-1819-156.pdf#page=5","Abrir facsímil")</f>
        <v>Abrir facsímil</v>
      </c>
      <c r="K2690" s="3" t="s">
        <v>23</v>
      </c>
    </row>
    <row r="2691" spans="1:11" ht="42" customHeight="1">
      <c r="A2691" s="2" t="s">
        <v>6617</v>
      </c>
      <c r="B2691" s="2" t="s">
        <v>6618</v>
      </c>
      <c r="C2691" s="2" t="s">
        <v>59</v>
      </c>
      <c r="D2691" s="2" t="s">
        <v>18</v>
      </c>
      <c r="E2691" s="5">
        <v>-29316</v>
      </c>
      <c r="F2691" s="3" t="s">
        <v>166</v>
      </c>
      <c r="G2691" s="3" t="s">
        <v>38</v>
      </c>
      <c r="H2691" s="2" t="s">
        <v>21</v>
      </c>
      <c r="I2691" s="2" t="s">
        <v>6619</v>
      </c>
      <c r="J2691" s="3" t="str">
        <f>HYPERLINK("https://www.boe.es/gazeta/dias/1819/09/25/pdfs/GMD-1819-118.pdf#page=5","Abrir facsímil")</f>
        <v>Abrir facsímil</v>
      </c>
      <c r="K2691" s="3" t="s">
        <v>23</v>
      </c>
    </row>
    <row r="2692" spans="1:11" ht="42" customHeight="1">
      <c r="A2692" s="2" t="s">
        <v>6620</v>
      </c>
      <c r="B2692" s="2" t="s">
        <v>6621</v>
      </c>
      <c r="C2692" s="2" t="s">
        <v>17</v>
      </c>
      <c r="D2692" s="2" t="s">
        <v>18</v>
      </c>
      <c r="E2692" s="5">
        <v>-29271</v>
      </c>
      <c r="F2692" s="3" t="s">
        <v>32</v>
      </c>
      <c r="G2692" s="3" t="s">
        <v>33</v>
      </c>
      <c r="H2692" s="2" t="s">
        <v>21</v>
      </c>
      <c r="I2692" s="2" t="s">
        <v>6622</v>
      </c>
      <c r="J2692" s="3" t="str">
        <f>HYPERLINK("https://www.boe.es/gazeta/dias/1819/11/09/pdfs/GMD-1819-138.pdf#page=6","Abrir facsímil")</f>
        <v>Abrir facsímil</v>
      </c>
      <c r="K2692" s="3" t="s">
        <v>23</v>
      </c>
    </row>
    <row r="2693" spans="1:11" ht="42" customHeight="1">
      <c r="A2693" s="2" t="s">
        <v>6620</v>
      </c>
      <c r="B2693" s="2" t="s">
        <v>6621</v>
      </c>
      <c r="C2693" s="2" t="s">
        <v>26</v>
      </c>
      <c r="D2693" s="2" t="s">
        <v>18</v>
      </c>
      <c r="E2693" s="5">
        <v>-29269</v>
      </c>
      <c r="F2693" s="3" t="s">
        <v>565</v>
      </c>
      <c r="G2693" s="3" t="s">
        <v>296</v>
      </c>
      <c r="H2693" s="2" t="s">
        <v>21</v>
      </c>
      <c r="I2693" s="2" t="s">
        <v>6623</v>
      </c>
      <c r="J2693" s="3" t="str">
        <f>HYPERLINK("https://www.boe.es/gazeta/dias/1819/11/11/pdfs/GMD-1819-139.pdf#page=4","Abrir facsímil")</f>
        <v>Abrir facsímil</v>
      </c>
      <c r="K2693" s="3" t="s">
        <v>23</v>
      </c>
    </row>
    <row r="2694" spans="1:11" ht="42" customHeight="1">
      <c r="A2694" s="2" t="s">
        <v>6620</v>
      </c>
      <c r="B2694" s="2" t="s">
        <v>6621</v>
      </c>
      <c r="C2694" s="2" t="s">
        <v>59</v>
      </c>
      <c r="D2694" s="2" t="s">
        <v>18</v>
      </c>
      <c r="E2694" s="5">
        <v>-29269</v>
      </c>
      <c r="F2694" s="3" t="s">
        <v>565</v>
      </c>
      <c r="G2694" s="3" t="s">
        <v>38</v>
      </c>
      <c r="H2694" s="2" t="s">
        <v>21</v>
      </c>
      <c r="I2694" s="2" t="s">
        <v>6624</v>
      </c>
      <c r="J2694" s="3" t="str">
        <f>HYPERLINK("https://www.boe.es/gazeta/dias/1819/11/11/pdfs/GMD-1819-139.pdf#page=5","Abrir facsímil")</f>
        <v>Abrir facsímil</v>
      </c>
      <c r="K2694" s="3" t="s">
        <v>23</v>
      </c>
    </row>
    <row r="2695" spans="1:11" ht="42" customHeight="1">
      <c r="A2695" s="2" t="s">
        <v>6625</v>
      </c>
      <c r="B2695" s="2" t="s">
        <v>6626</v>
      </c>
      <c r="C2695" s="2" t="s">
        <v>42</v>
      </c>
      <c r="D2695" s="2" t="s">
        <v>43</v>
      </c>
      <c r="E2695" s="5">
        <v>-29271</v>
      </c>
      <c r="F2695" s="3" t="s">
        <v>32</v>
      </c>
      <c r="G2695" s="3" t="s">
        <v>2323</v>
      </c>
      <c r="H2695" s="2" t="s">
        <v>21</v>
      </c>
      <c r="I2695" s="2" t="s">
        <v>6627</v>
      </c>
      <c r="J2695" s="3" t="str">
        <f>HYPERLINK("https://www.boe.es/gazeta/dias/1819/11/09/pdfs/GMD-1819-138.pdf#page=5","Abrir facsímil")</f>
        <v>Abrir facsímil</v>
      </c>
      <c r="K2695" s="3" t="s">
        <v>23</v>
      </c>
    </row>
    <row r="2696" spans="1:11" ht="42" customHeight="1">
      <c r="A2696" s="2" t="s">
        <v>6628</v>
      </c>
      <c r="B2696" s="2" t="s">
        <v>6629</v>
      </c>
      <c r="C2696" s="2" t="s">
        <v>136</v>
      </c>
      <c r="D2696" s="2" t="s">
        <v>18</v>
      </c>
      <c r="E2696" s="5">
        <v>-29260</v>
      </c>
      <c r="F2696" s="3" t="s">
        <v>93</v>
      </c>
      <c r="G2696" s="3" t="s">
        <v>33</v>
      </c>
      <c r="H2696" s="2" t="s">
        <v>21</v>
      </c>
      <c r="I2696" s="2" t="s">
        <v>6630</v>
      </c>
      <c r="J2696" s="3" t="str">
        <f>HYPERLINK("https://www.boe.es/gazeta/dias/1819/11/20/pdfs/GMD-1819-143.pdf#page=6","Abrir facsímil")</f>
        <v>Abrir facsímil</v>
      </c>
      <c r="K2696" s="3" t="s">
        <v>23</v>
      </c>
    </row>
    <row r="2697" spans="1:11" ht="42" customHeight="1">
      <c r="A2697" s="2" t="s">
        <v>6631</v>
      </c>
      <c r="B2697" s="2" t="s">
        <v>6632</v>
      </c>
      <c r="C2697" s="2" t="s">
        <v>80</v>
      </c>
      <c r="D2697" s="2" t="s">
        <v>81</v>
      </c>
      <c r="E2697" s="5">
        <v>-29264</v>
      </c>
      <c r="F2697" s="3" t="s">
        <v>37</v>
      </c>
      <c r="G2697" s="3" t="s">
        <v>20</v>
      </c>
      <c r="H2697" s="2" t="s">
        <v>65</v>
      </c>
      <c r="I2697" s="2" t="s">
        <v>6633</v>
      </c>
      <c r="J2697" s="3" t="str">
        <f>HYPERLINK("https://www.boe.es/gazeta/dias/1819/11/16/pdfs/GMD-1819-141.pdf#page=10","Abrir facsímil")</f>
        <v>Abrir facsímil</v>
      </c>
      <c r="K2697" s="3" t="s">
        <v>67</v>
      </c>
    </row>
    <row r="2698" spans="1:11" ht="42" customHeight="1">
      <c r="A2698" s="2" t="s">
        <v>6634</v>
      </c>
      <c r="B2698" s="2" t="s">
        <v>6635</v>
      </c>
      <c r="C2698" s="2" t="s">
        <v>80</v>
      </c>
      <c r="D2698" s="2" t="s">
        <v>81</v>
      </c>
      <c r="E2698" s="5">
        <v>-29225</v>
      </c>
      <c r="F2698" s="3" t="s">
        <v>472</v>
      </c>
      <c r="G2698" s="3" t="s">
        <v>33</v>
      </c>
      <c r="H2698" s="2" t="s">
        <v>65</v>
      </c>
      <c r="I2698" s="2" t="s">
        <v>6636</v>
      </c>
      <c r="J2698" s="3" t="str">
        <f>HYPERLINK("https://www.boe.es/gazeta/dias/1819/12/25/pdfs/GMD-1819-158.pdf#page=6","Abrir facsímil")</f>
        <v>Abrir facsímil</v>
      </c>
      <c r="K2698" s="3" t="s">
        <v>67</v>
      </c>
    </row>
    <row r="2699" spans="1:11" ht="42" customHeight="1">
      <c r="A2699" s="2" t="s">
        <v>6637</v>
      </c>
      <c r="B2699" s="2" t="s">
        <v>6638</v>
      </c>
      <c r="C2699" s="2" t="s">
        <v>63</v>
      </c>
      <c r="D2699" s="2" t="s">
        <v>43</v>
      </c>
      <c r="E2699" s="5">
        <v>-29460</v>
      </c>
      <c r="F2699" s="3" t="s">
        <v>1534</v>
      </c>
      <c r="G2699" s="3" t="s">
        <v>296</v>
      </c>
      <c r="H2699" s="2" t="s">
        <v>65</v>
      </c>
      <c r="I2699" s="2" t="s">
        <v>6639</v>
      </c>
      <c r="J2699" s="3" t="str">
        <f>HYPERLINK("https://www.boe.es/gazeta/dias/1819/05/04/pdfs/GMD-1819-53.pdf#page=4","Abrir facsímil")</f>
        <v>Abrir facsímil</v>
      </c>
      <c r="K2699" s="3" t="s">
        <v>67</v>
      </c>
    </row>
    <row r="2700" spans="1:11" ht="42" customHeight="1">
      <c r="A2700" s="2" t="s">
        <v>6637</v>
      </c>
      <c r="B2700" s="2" t="s">
        <v>6638</v>
      </c>
      <c r="C2700" s="2" t="s">
        <v>63</v>
      </c>
      <c r="D2700" s="2" t="s">
        <v>43</v>
      </c>
      <c r="E2700" s="5">
        <v>-29428</v>
      </c>
      <c r="F2700" s="3" t="s">
        <v>730</v>
      </c>
      <c r="G2700" s="3" t="s">
        <v>55</v>
      </c>
      <c r="H2700" s="2" t="s">
        <v>65</v>
      </c>
      <c r="I2700" s="2" t="s">
        <v>6640</v>
      </c>
      <c r="J2700" s="3" t="str">
        <f>HYPERLINK("https://www.boe.es/gazeta/dias/1819/06/05/pdfs/GMD-1819-67.pdf#page=7","Abrir facsímil")</f>
        <v>Abrir facsímil</v>
      </c>
      <c r="K2700" s="3" t="s">
        <v>67</v>
      </c>
    </row>
    <row r="2701" spans="1:11" ht="42" customHeight="1">
      <c r="A2701" s="2" t="s">
        <v>6641</v>
      </c>
      <c r="B2701" s="2" t="s">
        <v>6642</v>
      </c>
      <c r="C2701" s="2" t="s">
        <v>80</v>
      </c>
      <c r="D2701" s="2" t="s">
        <v>81</v>
      </c>
      <c r="E2701" s="5">
        <v>-29264</v>
      </c>
      <c r="F2701" s="3" t="s">
        <v>37</v>
      </c>
      <c r="G2701" s="3" t="s">
        <v>20</v>
      </c>
      <c r="H2701" s="2" t="s">
        <v>65</v>
      </c>
      <c r="I2701" s="2" t="s">
        <v>6643</v>
      </c>
      <c r="J2701" s="3" t="str">
        <f>HYPERLINK("https://www.boe.es/gazeta/dias/1819/11/16/pdfs/GMD-1819-141.pdf#page=10","Abrir facsímil")</f>
        <v>Abrir facsímil</v>
      </c>
      <c r="K2701" s="3" t="s">
        <v>67</v>
      </c>
    </row>
    <row r="2702" spans="1:11" ht="42" customHeight="1">
      <c r="A2702" s="2" t="s">
        <v>6644</v>
      </c>
      <c r="B2702" s="2" t="s">
        <v>6645</v>
      </c>
      <c r="C2702" s="2" t="s">
        <v>80</v>
      </c>
      <c r="D2702" s="2" t="s">
        <v>81</v>
      </c>
      <c r="E2702" s="5">
        <v>-29530</v>
      </c>
      <c r="F2702" s="3" t="s">
        <v>202</v>
      </c>
      <c r="G2702" s="3" t="s">
        <v>138</v>
      </c>
      <c r="H2702" s="2" t="s">
        <v>21</v>
      </c>
      <c r="I2702" s="2" t="s">
        <v>6646</v>
      </c>
      <c r="J2702" s="3" t="str">
        <f>HYPERLINK("https://www.boe.es/gazeta/dias/1819/02/23/pdfs/GMD-1819-23.pdf#page=12","Abrir facsímil")</f>
        <v>Abrir facsímil</v>
      </c>
      <c r="K2702" s="3" t="s">
        <v>23</v>
      </c>
    </row>
    <row r="2703" spans="1:11" ht="42" customHeight="1">
      <c r="A2703" s="2" t="s">
        <v>6647</v>
      </c>
      <c r="B2703" s="2" t="s">
        <v>6648</v>
      </c>
      <c r="C2703" s="2" t="s">
        <v>80</v>
      </c>
      <c r="D2703" s="2" t="s">
        <v>81</v>
      </c>
      <c r="E2703" s="5">
        <v>-29442</v>
      </c>
      <c r="F2703" s="3" t="s">
        <v>427</v>
      </c>
      <c r="G2703" s="3" t="s">
        <v>38</v>
      </c>
      <c r="H2703" s="2" t="s">
        <v>65</v>
      </c>
      <c r="I2703" s="2" t="s">
        <v>6649</v>
      </c>
      <c r="J2703" s="3" t="str">
        <f>HYPERLINK("https://www.boe.es/gazeta/dias/1819/05/22/pdfs/GMD-1819-61.pdf#page=5","Abrir facsímil")</f>
        <v>Abrir facsímil</v>
      </c>
      <c r="K2703" s="3" t="s">
        <v>67</v>
      </c>
    </row>
    <row r="2704" spans="1:11" ht="42" customHeight="1">
      <c r="A2704" s="2" t="s">
        <v>6650</v>
      </c>
      <c r="B2704" s="2" t="s">
        <v>6650</v>
      </c>
      <c r="C2704" s="2" t="s">
        <v>136</v>
      </c>
      <c r="D2704" s="2" t="s">
        <v>18</v>
      </c>
      <c r="E2704" s="5">
        <v>-29572</v>
      </c>
      <c r="F2704" s="3" t="s">
        <v>589</v>
      </c>
      <c r="G2704" s="3" t="s">
        <v>590</v>
      </c>
      <c r="H2704" s="2" t="s">
        <v>65</v>
      </c>
      <c r="I2704" s="2" t="s">
        <v>6651</v>
      </c>
      <c r="J2704" s="3" t="str">
        <f>HYPERLINK("https://www.boe.es/gazeta/dias/1819/01/12/pdfs/GMD-1819-5.pdf#page=8","Abrir facsímil")</f>
        <v>Abrir facsímil</v>
      </c>
      <c r="K2704" s="3" t="s">
        <v>67</v>
      </c>
    </row>
    <row r="2705" spans="1:11" ht="42" customHeight="1">
      <c r="A2705" s="2" t="s">
        <v>6652</v>
      </c>
      <c r="B2705" s="2" t="s">
        <v>6652</v>
      </c>
      <c r="C2705" s="2" t="s">
        <v>80</v>
      </c>
      <c r="D2705" s="2" t="s">
        <v>81</v>
      </c>
      <c r="E2705" s="5">
        <v>-29572</v>
      </c>
      <c r="F2705" s="3" t="s">
        <v>589</v>
      </c>
      <c r="G2705" s="3" t="s">
        <v>239</v>
      </c>
      <c r="H2705" s="2" t="s">
        <v>65</v>
      </c>
      <c r="I2705" s="2" t="s">
        <v>6653</v>
      </c>
      <c r="J2705" s="3" t="str">
        <f>HYPERLINK("https://www.boe.es/gazeta/dias/1819/01/12/pdfs/GMD-1819-5.pdf#page=1","Abrir facsímil")</f>
        <v>Abrir facsímil</v>
      </c>
      <c r="K2705" s="3" t="s">
        <v>67</v>
      </c>
    </row>
    <row r="2706" spans="1:11" ht="42" customHeight="1">
      <c r="A2706" s="2" t="s">
        <v>6654</v>
      </c>
      <c r="B2706" s="2" t="s">
        <v>6655</v>
      </c>
      <c r="C2706" s="2" t="s">
        <v>80</v>
      </c>
      <c r="D2706" s="2" t="s">
        <v>81</v>
      </c>
      <c r="E2706" s="5">
        <v>-29232</v>
      </c>
      <c r="F2706" s="3" t="s">
        <v>752</v>
      </c>
      <c r="G2706" s="3" t="s">
        <v>33</v>
      </c>
      <c r="H2706" s="2" t="s">
        <v>65</v>
      </c>
      <c r="I2706" s="2" t="s">
        <v>6656</v>
      </c>
      <c r="J2706" s="3" t="str">
        <f>HYPERLINK("https://www.boe.es/gazeta/dias/1819/12/18/pdfs/GMD-1819-155.pdf#page=6","Abrir facsímil")</f>
        <v>Abrir facsímil</v>
      </c>
      <c r="K2706" s="3" t="s">
        <v>67</v>
      </c>
    </row>
    <row r="2707" spans="1:11" ht="42" customHeight="1">
      <c r="A2707" s="2" t="s">
        <v>6657</v>
      </c>
      <c r="B2707" s="2" t="s">
        <v>6658</v>
      </c>
      <c r="C2707" s="2" t="s">
        <v>215</v>
      </c>
      <c r="D2707" s="2" t="s">
        <v>18</v>
      </c>
      <c r="E2707" s="5">
        <v>-29558</v>
      </c>
      <c r="F2707" s="3" t="s">
        <v>1463</v>
      </c>
      <c r="G2707" s="3" t="s">
        <v>33</v>
      </c>
      <c r="H2707" s="2" t="s">
        <v>65</v>
      </c>
      <c r="I2707" s="2" t="s">
        <v>6659</v>
      </c>
      <c r="J2707" s="3" t="str">
        <f>HYPERLINK("https://www.boe.es/gazeta/dias/1819/01/26/pdfs/GMD-1819-11.pdf#page=6","Abrir facsímil")</f>
        <v>Abrir facsímil</v>
      </c>
      <c r="K2707" s="3" t="s">
        <v>67</v>
      </c>
    </row>
    <row r="2708" spans="1:11" ht="42" customHeight="1">
      <c r="A2708" s="2" t="s">
        <v>6660</v>
      </c>
      <c r="B2708" s="2" t="s">
        <v>6661</v>
      </c>
      <c r="C2708" s="2" t="s">
        <v>136</v>
      </c>
      <c r="D2708" s="2" t="s">
        <v>18</v>
      </c>
      <c r="E2708" s="5">
        <v>-29582</v>
      </c>
      <c r="F2708" s="3" t="s">
        <v>376</v>
      </c>
      <c r="G2708" s="3" t="s">
        <v>28</v>
      </c>
      <c r="H2708" s="2" t="s">
        <v>65</v>
      </c>
      <c r="I2708" s="2" t="s">
        <v>6662</v>
      </c>
      <c r="J2708" s="3" t="str">
        <f>HYPERLINK("https://www.boe.es/gazeta/dias/1819/01/02/pdfs/GMD-1819-1.pdf#page=8","Abrir facsímil")</f>
        <v>Abrir facsímil</v>
      </c>
      <c r="K2708" s="3" t="s">
        <v>67</v>
      </c>
    </row>
    <row r="2709" spans="1:11" ht="42" customHeight="1">
      <c r="A2709" s="2" t="s">
        <v>6660</v>
      </c>
      <c r="B2709" s="2" t="s">
        <v>6661</v>
      </c>
      <c r="C2709" s="2" t="s">
        <v>63</v>
      </c>
      <c r="D2709" s="2" t="s">
        <v>43</v>
      </c>
      <c r="E2709" s="5">
        <v>-29229</v>
      </c>
      <c r="F2709" s="3" t="s">
        <v>44</v>
      </c>
      <c r="G2709" s="3" t="s">
        <v>55</v>
      </c>
      <c r="H2709" s="2" t="s">
        <v>65</v>
      </c>
      <c r="I2709" s="2" t="s">
        <v>6663</v>
      </c>
      <c r="J2709" s="3" t="str">
        <f>HYPERLINK("https://www.boe.es/gazeta/dias/1819/12/21/pdfs/GMD-1819-156.pdf#page=7","Abrir facsímil")</f>
        <v>Abrir facsímil</v>
      </c>
      <c r="K2709" s="3" t="s">
        <v>67</v>
      </c>
    </row>
    <row r="2710" spans="1:11" ht="42" customHeight="1">
      <c r="A2710" s="2" t="s">
        <v>6664</v>
      </c>
      <c r="B2710" s="2" t="s">
        <v>6665</v>
      </c>
      <c r="C2710" s="2" t="s">
        <v>17</v>
      </c>
      <c r="D2710" s="2" t="s">
        <v>18</v>
      </c>
      <c r="E2710" s="5">
        <v>-29276</v>
      </c>
      <c r="F2710" s="3" t="s">
        <v>54</v>
      </c>
      <c r="G2710" s="3" t="s">
        <v>284</v>
      </c>
      <c r="H2710" s="2" t="s">
        <v>65</v>
      </c>
      <c r="I2710" s="2" t="s">
        <v>6666</v>
      </c>
      <c r="J2710" s="3" t="str">
        <f>HYPERLINK("https://www.boe.es/gazeta/dias/1819/11/04/pdfs/GMD-1819-136.pdf#page=6","Abrir facsímil")</f>
        <v>Abrir facsímil</v>
      </c>
      <c r="K2710" s="3" t="s">
        <v>67</v>
      </c>
    </row>
    <row r="2711" spans="1:11" ht="42" customHeight="1">
      <c r="A2711" s="2" t="s">
        <v>6667</v>
      </c>
      <c r="B2711" s="2" t="s">
        <v>6668</v>
      </c>
      <c r="C2711" s="2" t="s">
        <v>63</v>
      </c>
      <c r="D2711" s="2" t="s">
        <v>43</v>
      </c>
      <c r="E2711" s="5">
        <v>-29435</v>
      </c>
      <c r="F2711" s="3" t="s">
        <v>191</v>
      </c>
      <c r="G2711" s="3" t="s">
        <v>33</v>
      </c>
      <c r="H2711" s="2" t="s">
        <v>21</v>
      </c>
      <c r="I2711" s="2" t="s">
        <v>6669</v>
      </c>
      <c r="J2711" s="3" t="str">
        <f>HYPERLINK("https://www.boe.es/gazeta/dias/1819/05/29/pdfs/GMD-1819-64.pdf#page=6","Abrir facsímil")</f>
        <v>Abrir facsímil</v>
      </c>
      <c r="K2711" s="3" t="s">
        <v>23</v>
      </c>
    </row>
    <row r="2712" spans="1:11" ht="42" customHeight="1">
      <c r="A2712" s="2" t="s">
        <v>6670</v>
      </c>
      <c r="B2712" s="2" t="s">
        <v>6671</v>
      </c>
      <c r="C2712" s="2" t="s">
        <v>80</v>
      </c>
      <c r="D2712" s="2" t="s">
        <v>81</v>
      </c>
      <c r="E2712" s="5">
        <v>-29458</v>
      </c>
      <c r="F2712" s="3" t="s">
        <v>766</v>
      </c>
      <c r="G2712" s="3" t="s">
        <v>296</v>
      </c>
      <c r="H2712" s="2" t="s">
        <v>65</v>
      </c>
      <c r="I2712" s="2" t="s">
        <v>6672</v>
      </c>
      <c r="J2712" s="3" t="str">
        <f>HYPERLINK("https://www.boe.es/gazeta/dias/1819/05/06/pdfs/GMD-1819-54.pdf#page=4","Abrir facsímil")</f>
        <v>Abrir facsímil</v>
      </c>
      <c r="K2712" s="3" t="s">
        <v>67</v>
      </c>
    </row>
    <row r="2713" spans="1:11" ht="42" customHeight="1">
      <c r="A2713" s="2" t="s">
        <v>6673</v>
      </c>
      <c r="B2713" s="2" t="s">
        <v>6674</v>
      </c>
      <c r="C2713" s="2" t="s">
        <v>63</v>
      </c>
      <c r="D2713" s="2" t="s">
        <v>43</v>
      </c>
      <c r="E2713" s="5">
        <v>-29430</v>
      </c>
      <c r="F2713" s="3" t="s">
        <v>178</v>
      </c>
      <c r="G2713" s="3" t="s">
        <v>33</v>
      </c>
      <c r="H2713" s="2" t="s">
        <v>65</v>
      </c>
      <c r="I2713" s="2" t="s">
        <v>6675</v>
      </c>
      <c r="J2713" s="3" t="str">
        <f>HYPERLINK("https://www.boe.es/gazeta/dias/1819/06/03/pdfs/GMD-1819-66.pdf#page=6","Abrir facsímil")</f>
        <v>Abrir facsímil</v>
      </c>
      <c r="K2713" s="3" t="s">
        <v>67</v>
      </c>
    </row>
    <row r="2714" spans="1:11" ht="42" customHeight="1">
      <c r="A2714" s="2" t="s">
        <v>6676</v>
      </c>
      <c r="B2714" s="2" t="s">
        <v>6677</v>
      </c>
      <c r="C2714" s="2" t="s">
        <v>80</v>
      </c>
      <c r="D2714" s="2" t="s">
        <v>81</v>
      </c>
      <c r="E2714" s="5">
        <v>-29264</v>
      </c>
      <c r="F2714" s="3" t="s">
        <v>37</v>
      </c>
      <c r="G2714" s="3" t="s">
        <v>456</v>
      </c>
      <c r="H2714" s="2" t="s">
        <v>65</v>
      </c>
      <c r="I2714" s="2" t="s">
        <v>6678</v>
      </c>
      <c r="J2714" s="3" t="str">
        <f>HYPERLINK("https://www.boe.es/gazeta/dias/1819/11/16/pdfs/GMD-1819-141.pdf#page=9","Abrir facsímil")</f>
        <v>Abrir facsímil</v>
      </c>
      <c r="K2714" s="3" t="s">
        <v>67</v>
      </c>
    </row>
    <row r="2715" spans="1:11" ht="42" customHeight="1">
      <c r="A2715" s="2" t="s">
        <v>6679</v>
      </c>
      <c r="B2715" s="2" t="s">
        <v>6680</v>
      </c>
      <c r="C2715" s="2" t="s">
        <v>59</v>
      </c>
      <c r="D2715" s="2" t="s">
        <v>18</v>
      </c>
      <c r="E2715" s="5">
        <v>-29236</v>
      </c>
      <c r="F2715" s="3" t="s">
        <v>379</v>
      </c>
      <c r="G2715" s="3" t="s">
        <v>55</v>
      </c>
      <c r="H2715" s="2" t="s">
        <v>65</v>
      </c>
      <c r="I2715" s="2" t="s">
        <v>6681</v>
      </c>
      <c r="J2715" s="3" t="str">
        <f>HYPERLINK("https://www.boe.es/gazeta/dias/1819/12/14/pdfs/GMD-1819-153.pdf#page=7","Abrir facsímil")</f>
        <v>Abrir facsímil</v>
      </c>
      <c r="K2715" s="3" t="s">
        <v>67</v>
      </c>
    </row>
    <row r="2716" spans="1:11" ht="42" customHeight="1">
      <c r="A2716" s="2" t="s">
        <v>6682</v>
      </c>
      <c r="B2716" s="2" t="s">
        <v>6683</v>
      </c>
      <c r="C2716" s="2" t="s">
        <v>80</v>
      </c>
      <c r="D2716" s="2" t="s">
        <v>454</v>
      </c>
      <c r="E2716" s="5">
        <v>-29287</v>
      </c>
      <c r="F2716" s="3" t="s">
        <v>455</v>
      </c>
      <c r="G2716" s="3" t="s">
        <v>1113</v>
      </c>
      <c r="H2716" s="2" t="s">
        <v>65</v>
      </c>
      <c r="I2716" s="2" t="s">
        <v>6684</v>
      </c>
      <c r="J2716" s="3" t="str">
        <f>HYPERLINK("https://www.boe.es/gazeta/dias/1819/10/24/pdfs/GMD-1819-131E.pdf#page=7","Abrir facsímil")</f>
        <v>Abrir facsímil</v>
      </c>
      <c r="K2716" s="3" t="s">
        <v>67</v>
      </c>
    </row>
    <row r="2717" spans="1:11" ht="42" customHeight="1">
      <c r="A2717" s="2" t="s">
        <v>6685</v>
      </c>
      <c r="B2717" s="2" t="s">
        <v>6686</v>
      </c>
      <c r="C2717" s="2" t="s">
        <v>215</v>
      </c>
      <c r="D2717" s="2" t="s">
        <v>18</v>
      </c>
      <c r="E2717" s="5">
        <v>-29537</v>
      </c>
      <c r="F2717" s="3" t="s">
        <v>593</v>
      </c>
      <c r="G2717" s="3" t="s">
        <v>20</v>
      </c>
      <c r="H2717" s="2" t="s">
        <v>65</v>
      </c>
      <c r="I2717" s="2" t="s">
        <v>6687</v>
      </c>
      <c r="J2717" s="3" t="str">
        <f>HYPERLINK("https://www.boe.es/gazeta/dias/1819/02/16/pdfs/GMD-1819-20.pdf#page=10","Abrir facsímil")</f>
        <v>Abrir facsímil</v>
      </c>
      <c r="K2717" s="3" t="s">
        <v>67</v>
      </c>
    </row>
    <row r="2718" spans="1:11" ht="42" customHeight="1">
      <c r="A2718" s="2" t="s">
        <v>6688</v>
      </c>
      <c r="B2718" s="2" t="s">
        <v>6689</v>
      </c>
      <c r="C2718" s="2" t="s">
        <v>80</v>
      </c>
      <c r="D2718" s="2" t="s">
        <v>81</v>
      </c>
      <c r="E2718" s="5">
        <v>-29365</v>
      </c>
      <c r="F2718" s="3" t="s">
        <v>218</v>
      </c>
      <c r="G2718" s="3" t="s">
        <v>953</v>
      </c>
      <c r="H2718" s="2" t="s">
        <v>65</v>
      </c>
      <c r="I2718" s="2" t="s">
        <v>6690</v>
      </c>
      <c r="J2718" s="3" t="str">
        <f>HYPERLINK("https://www.boe.es/gazeta/dias/1819/08/07/pdfs/GMD-1819-95.pdf#page=7","Abrir facsímil")</f>
        <v>Abrir facsímil</v>
      </c>
      <c r="K2718" s="3" t="s">
        <v>67</v>
      </c>
    </row>
    <row r="2719" spans="1:11" ht="42" customHeight="1">
      <c r="A2719" s="2" t="s">
        <v>6691</v>
      </c>
      <c r="B2719" s="2" t="s">
        <v>6692</v>
      </c>
      <c r="C2719" s="2" t="s">
        <v>80</v>
      </c>
      <c r="D2719" s="2" t="s">
        <v>81</v>
      </c>
      <c r="E2719" s="5">
        <v>-29269</v>
      </c>
      <c r="F2719" s="3" t="s">
        <v>565</v>
      </c>
      <c r="G2719" s="3" t="s">
        <v>55</v>
      </c>
      <c r="H2719" s="2" t="s">
        <v>65</v>
      </c>
      <c r="I2719" s="2" t="s">
        <v>6693</v>
      </c>
      <c r="J2719" s="3" t="str">
        <f>HYPERLINK("https://www.boe.es/gazeta/dias/1819/11/11/pdfs/GMD-1819-139.pdf#page=7","Abrir facsímil")</f>
        <v>Abrir facsímil</v>
      </c>
      <c r="K2719" s="3" t="s">
        <v>67</v>
      </c>
    </row>
    <row r="2720" spans="1:11" ht="42" customHeight="1">
      <c r="A2720" s="2" t="s">
        <v>6694</v>
      </c>
      <c r="B2720" s="2" t="s">
        <v>6694</v>
      </c>
      <c r="C2720" s="2" t="s">
        <v>26</v>
      </c>
      <c r="D2720" s="2" t="s">
        <v>18</v>
      </c>
      <c r="E2720" s="5">
        <v>-29439</v>
      </c>
      <c r="F2720" s="3" t="s">
        <v>1101</v>
      </c>
      <c r="G2720" s="3" t="s">
        <v>1960</v>
      </c>
      <c r="H2720" s="2" t="s">
        <v>65</v>
      </c>
      <c r="I2720" s="2" t="s">
        <v>6695</v>
      </c>
      <c r="J2720" s="3" t="str">
        <f>HYPERLINK("https://www.boe.es/gazeta/dias/1819/05/25/pdfs/GMD-1819-62.pdf#page=8","Abrir facsímil")</f>
        <v>Abrir facsímil</v>
      </c>
      <c r="K2720" s="3" t="s">
        <v>67</v>
      </c>
    </row>
    <row r="2721" spans="1:11" ht="42" customHeight="1">
      <c r="A2721" s="2" t="s">
        <v>6694</v>
      </c>
      <c r="B2721" s="2" t="s">
        <v>6694</v>
      </c>
      <c r="C2721" s="2" t="s">
        <v>17</v>
      </c>
      <c r="D2721" s="2" t="s">
        <v>18</v>
      </c>
      <c r="E2721" s="5">
        <v>-29311</v>
      </c>
      <c r="F2721" s="3" t="s">
        <v>678</v>
      </c>
      <c r="G2721" s="3" t="s">
        <v>28</v>
      </c>
      <c r="H2721" s="2" t="s">
        <v>65</v>
      </c>
      <c r="I2721" s="2" t="s">
        <v>6696</v>
      </c>
      <c r="J2721" s="3" t="str">
        <f>HYPERLINK("https://www.boe.es/gazeta/dias/1819/09/30/pdfs/GMD-1819-120.pdf#page=8","Abrir facsímil")</f>
        <v>Abrir facsímil</v>
      </c>
      <c r="K2721" s="3" t="s">
        <v>67</v>
      </c>
    </row>
    <row r="2722" spans="1:11" ht="42" customHeight="1">
      <c r="A2722" s="2" t="s">
        <v>6697</v>
      </c>
      <c r="B2722" s="2" t="s">
        <v>6698</v>
      </c>
      <c r="C2722" s="2" t="s">
        <v>80</v>
      </c>
      <c r="D2722" s="2" t="s">
        <v>81</v>
      </c>
      <c r="E2722" s="5">
        <v>-29561</v>
      </c>
      <c r="F2722" s="3" t="s">
        <v>290</v>
      </c>
      <c r="G2722" s="3" t="s">
        <v>296</v>
      </c>
      <c r="H2722" s="2" t="s">
        <v>65</v>
      </c>
      <c r="I2722" s="2" t="s">
        <v>6699</v>
      </c>
      <c r="J2722" s="3" t="str">
        <f>HYPERLINK("https://www.boe.es/gazeta/dias/1819/01/23/pdfs/GMD-1819-10.pdf#page=4","Abrir facsímil")</f>
        <v>Abrir facsímil</v>
      </c>
      <c r="K2722" s="3" t="s">
        <v>67</v>
      </c>
    </row>
    <row r="2723" spans="1:11" ht="42" customHeight="1">
      <c r="A2723" s="2" t="s">
        <v>6700</v>
      </c>
      <c r="B2723" s="2" t="s">
        <v>6700</v>
      </c>
      <c r="C2723" s="2" t="s">
        <v>80</v>
      </c>
      <c r="D2723" s="2" t="s">
        <v>81</v>
      </c>
      <c r="E2723" s="5">
        <v>-29306</v>
      </c>
      <c r="F2723" s="3" t="s">
        <v>303</v>
      </c>
      <c r="G2723" s="3" t="s">
        <v>239</v>
      </c>
      <c r="H2723" s="2" t="s">
        <v>65</v>
      </c>
      <c r="I2723" s="2" t="s">
        <v>6701</v>
      </c>
      <c r="J2723" s="3" t="str">
        <f>HYPERLINK("https://www.boe.es/gazeta/dias/1819/10/05/pdfs/GMD-1819-122.pdf#page=1","Abrir facsímil")</f>
        <v>Abrir facsímil</v>
      </c>
      <c r="K2723" s="3" t="s">
        <v>67</v>
      </c>
    </row>
    <row r="2724" spans="1:11" ht="42" customHeight="1">
      <c r="A2724" s="2" t="s">
        <v>6702</v>
      </c>
      <c r="B2724" s="2" t="s">
        <v>6702</v>
      </c>
      <c r="C2724" s="2" t="s">
        <v>26</v>
      </c>
      <c r="D2724" s="2" t="s">
        <v>18</v>
      </c>
      <c r="E2724" s="5">
        <v>-29260</v>
      </c>
      <c r="F2724" s="3" t="s">
        <v>93</v>
      </c>
      <c r="G2724" s="3" t="s">
        <v>138</v>
      </c>
      <c r="H2724" s="2" t="s">
        <v>65</v>
      </c>
      <c r="I2724" s="2" t="s">
        <v>6703</v>
      </c>
      <c r="J2724" s="3" t="str">
        <f>HYPERLINK("https://www.boe.es/gazeta/dias/1819/11/20/pdfs/GMD-1819-143.pdf#page=12","Abrir facsímil")</f>
        <v>Abrir facsímil</v>
      </c>
      <c r="K2724" s="3" t="s">
        <v>67</v>
      </c>
    </row>
    <row r="2725" spans="1:11" ht="42" customHeight="1">
      <c r="A2725" s="2" t="s">
        <v>6704</v>
      </c>
      <c r="B2725" s="2" t="s">
        <v>6704</v>
      </c>
      <c r="C2725" s="2" t="s">
        <v>42</v>
      </c>
      <c r="D2725" s="2" t="s">
        <v>43</v>
      </c>
      <c r="E2725" s="5">
        <v>-29241</v>
      </c>
      <c r="F2725" s="3" t="s">
        <v>1382</v>
      </c>
      <c r="G2725" s="3" t="s">
        <v>38</v>
      </c>
      <c r="H2725" s="2" t="s">
        <v>65</v>
      </c>
      <c r="I2725" s="2" t="s">
        <v>6705</v>
      </c>
      <c r="J2725" s="3" t="str">
        <f>HYPERLINK("https://www.boe.es/gazeta/dias/1819/12/09/pdfs/GMD-1819-151.pdf#page=5","Abrir facsímil")</f>
        <v>Abrir facsímil</v>
      </c>
      <c r="K2725" s="3" t="s">
        <v>67</v>
      </c>
    </row>
    <row r="2726" spans="1:11" ht="42" customHeight="1">
      <c r="A2726" s="2" t="s">
        <v>6706</v>
      </c>
      <c r="B2726" s="2" t="s">
        <v>6707</v>
      </c>
      <c r="C2726" s="2" t="s">
        <v>63</v>
      </c>
      <c r="D2726" s="2" t="s">
        <v>43</v>
      </c>
      <c r="E2726" s="5">
        <v>-29225</v>
      </c>
      <c r="F2726" s="3" t="s">
        <v>472</v>
      </c>
      <c r="G2726" s="3" t="s">
        <v>28</v>
      </c>
      <c r="H2726" s="2" t="s">
        <v>65</v>
      </c>
      <c r="I2726" s="2" t="s">
        <v>6708</v>
      </c>
      <c r="J2726" s="3" t="str">
        <f>HYPERLINK("https://www.boe.es/gazeta/dias/1819/12/25/pdfs/GMD-1819-158.pdf#page=8","Abrir facsímil")</f>
        <v>Abrir facsímil</v>
      </c>
      <c r="K2726" s="3" t="s">
        <v>67</v>
      </c>
    </row>
    <row r="2727" spans="1:11" ht="42" customHeight="1">
      <c r="A2727" s="2" t="s">
        <v>6709</v>
      </c>
      <c r="B2727" s="2" t="s">
        <v>6710</v>
      </c>
      <c r="C2727" s="2" t="s">
        <v>17</v>
      </c>
      <c r="D2727" s="2" t="s">
        <v>18</v>
      </c>
      <c r="E2727" s="5">
        <v>-29269</v>
      </c>
      <c r="F2727" s="3" t="s">
        <v>565</v>
      </c>
      <c r="G2727" s="3" t="s">
        <v>38</v>
      </c>
      <c r="H2727" s="2" t="s">
        <v>21</v>
      </c>
      <c r="I2727" s="2" t="s">
        <v>6711</v>
      </c>
      <c r="J2727" s="3" t="str">
        <f>HYPERLINK("https://www.boe.es/gazeta/dias/1819/11/11/pdfs/GMD-1819-139.pdf#page=5","Abrir facsímil")</f>
        <v>Abrir facsímil</v>
      </c>
      <c r="K2727" s="3" t="s">
        <v>23</v>
      </c>
    </row>
    <row r="2728" spans="1:11" ht="42" customHeight="1">
      <c r="A2728" s="2" t="s">
        <v>6712</v>
      </c>
      <c r="B2728" s="2" t="s">
        <v>6712</v>
      </c>
      <c r="C2728" s="2" t="s">
        <v>63</v>
      </c>
      <c r="D2728" s="2" t="s">
        <v>43</v>
      </c>
      <c r="E2728" s="5">
        <v>-29444</v>
      </c>
      <c r="F2728" s="3" t="s">
        <v>258</v>
      </c>
      <c r="G2728" s="3" t="s">
        <v>259</v>
      </c>
      <c r="H2728" s="2" t="s">
        <v>65</v>
      </c>
      <c r="I2728" s="2" t="s">
        <v>6713</v>
      </c>
      <c r="J2728" s="3" t="str">
        <f>HYPERLINK("https://www.boe.es/gazeta/dias/1819/05/20/pdfs/GMD-1819-60.pdf#page=2","Abrir facsímil")</f>
        <v>Abrir facsímil</v>
      </c>
      <c r="K2728" s="3" t="s">
        <v>67</v>
      </c>
    </row>
    <row r="2729" spans="1:11" ht="42" customHeight="1">
      <c r="A2729" s="2" t="s">
        <v>6714</v>
      </c>
      <c r="B2729" s="2" t="s">
        <v>6714</v>
      </c>
      <c r="C2729" s="2" t="s">
        <v>59</v>
      </c>
      <c r="D2729" s="2" t="s">
        <v>18</v>
      </c>
      <c r="E2729" s="5">
        <v>-29248</v>
      </c>
      <c r="F2729" s="3" t="s">
        <v>395</v>
      </c>
      <c r="G2729" s="3" t="s">
        <v>94</v>
      </c>
      <c r="H2729" s="2" t="s">
        <v>65</v>
      </c>
      <c r="I2729" s="2" t="s">
        <v>6715</v>
      </c>
      <c r="J2729" s="3" t="str">
        <f>HYPERLINK("https://www.boe.es/gazeta/dias/1819/12/02/pdfs/GMD-1819-148.pdf#page=11","Abrir facsímil")</f>
        <v>Abrir facsímil</v>
      </c>
      <c r="K2729" s="3" t="s">
        <v>67</v>
      </c>
    </row>
    <row r="2730" spans="1:11" ht="42" customHeight="1">
      <c r="A2730" s="2" t="s">
        <v>6716</v>
      </c>
      <c r="B2730" s="2" t="s">
        <v>6716</v>
      </c>
      <c r="C2730" s="2" t="s">
        <v>63</v>
      </c>
      <c r="D2730" s="2" t="s">
        <v>43</v>
      </c>
      <c r="E2730" s="5">
        <v>-29523</v>
      </c>
      <c r="F2730" s="3" t="s">
        <v>436</v>
      </c>
      <c r="G2730" s="3" t="s">
        <v>239</v>
      </c>
      <c r="H2730" s="2" t="s">
        <v>65</v>
      </c>
      <c r="I2730" s="2" t="s">
        <v>6717</v>
      </c>
      <c r="J2730" s="3" t="str">
        <f>HYPERLINK("https://www.boe.es/gazeta/dias/1819/03/02/pdfs/GMD-1819-26.pdf#page=1","Abrir facsímil")</f>
        <v>Abrir facsímil</v>
      </c>
      <c r="K2730" s="3" t="s">
        <v>67</v>
      </c>
    </row>
    <row r="2731" spans="1:11" ht="42" customHeight="1">
      <c r="A2731" s="2" t="s">
        <v>6716</v>
      </c>
      <c r="B2731" s="2" t="s">
        <v>6716</v>
      </c>
      <c r="C2731" s="2" t="s">
        <v>80</v>
      </c>
      <c r="D2731" s="2" t="s">
        <v>81</v>
      </c>
      <c r="E2731" s="5">
        <v>-29404</v>
      </c>
      <c r="F2731" s="3" t="s">
        <v>1939</v>
      </c>
      <c r="G2731" s="3" t="s">
        <v>239</v>
      </c>
      <c r="H2731" s="2" t="s">
        <v>65</v>
      </c>
      <c r="I2731" s="2" t="s">
        <v>6718</v>
      </c>
      <c r="J2731" s="3" t="str">
        <f>HYPERLINK("https://www.boe.es/gazeta/dias/1819/06/29/pdfs/GMD-1819-78.pdf#page=1","Abrir facsímil")</f>
        <v>Abrir facsímil</v>
      </c>
      <c r="K2731" s="3" t="s">
        <v>67</v>
      </c>
    </row>
    <row r="2732" spans="1:11" ht="42" customHeight="1">
      <c r="A2732" s="2" t="s">
        <v>6716</v>
      </c>
      <c r="B2732" s="2" t="s">
        <v>6716</v>
      </c>
      <c r="C2732" s="2" t="s">
        <v>59</v>
      </c>
      <c r="D2732" s="2" t="s">
        <v>18</v>
      </c>
      <c r="E2732" s="5">
        <v>-29404</v>
      </c>
      <c r="F2732" s="3" t="s">
        <v>1939</v>
      </c>
      <c r="G2732" s="3" t="s">
        <v>102</v>
      </c>
      <c r="H2732" s="2" t="s">
        <v>65</v>
      </c>
      <c r="I2732" s="2" t="s">
        <v>6719</v>
      </c>
      <c r="J2732" s="3" t="str">
        <f>HYPERLINK("https://www.boe.es/gazeta/dias/1819/06/29/pdfs/GMD-1819-78.pdf#page=3","Abrir facsímil")</f>
        <v>Abrir facsímil</v>
      </c>
      <c r="K2732" s="3" t="s">
        <v>67</v>
      </c>
    </row>
    <row r="2733" spans="1:11" ht="42" customHeight="1">
      <c r="A2733" s="2" t="s">
        <v>6720</v>
      </c>
      <c r="B2733" s="2" t="s">
        <v>6720</v>
      </c>
      <c r="C2733" s="2" t="s">
        <v>80</v>
      </c>
      <c r="D2733" s="2" t="s">
        <v>81</v>
      </c>
      <c r="E2733" s="5">
        <v>-29316</v>
      </c>
      <c r="F2733" s="3" t="s">
        <v>166</v>
      </c>
      <c r="G2733" s="3" t="s">
        <v>94</v>
      </c>
      <c r="H2733" s="2" t="s">
        <v>65</v>
      </c>
      <c r="I2733" s="2" t="s">
        <v>6721</v>
      </c>
      <c r="J2733" s="3" t="str">
        <f>HYPERLINK("https://www.boe.es/gazeta/dias/1819/09/25/pdfs/GMD-1819-118.pdf#page=11","Abrir facsímil")</f>
        <v>Abrir facsímil</v>
      </c>
      <c r="K2733" s="3" t="s">
        <v>67</v>
      </c>
    </row>
    <row r="2734" spans="1:11" ht="42" customHeight="1">
      <c r="A2734" s="2" t="s">
        <v>6722</v>
      </c>
      <c r="B2734" s="2" t="s">
        <v>6723</v>
      </c>
      <c r="C2734" s="2" t="s">
        <v>26</v>
      </c>
      <c r="D2734" s="2" t="s">
        <v>18</v>
      </c>
      <c r="E2734" s="5">
        <v>-29288</v>
      </c>
      <c r="F2734" s="3" t="s">
        <v>334</v>
      </c>
      <c r="G2734" s="3" t="s">
        <v>2162</v>
      </c>
      <c r="H2734" s="2" t="s">
        <v>65</v>
      </c>
      <c r="I2734" s="2" t="s">
        <v>6724</v>
      </c>
      <c r="J2734" s="3" t="str">
        <f>HYPERLINK("https://www.boe.es/gazeta/dias/1819/10/23/pdfs/GMD-1819-130.pdf#page=7","Abrir facsímil")</f>
        <v>Abrir facsímil</v>
      </c>
      <c r="K2734" s="3" t="s">
        <v>67</v>
      </c>
    </row>
    <row r="2735" spans="1:11" ht="42" customHeight="1">
      <c r="A2735" s="2" t="s">
        <v>6725</v>
      </c>
      <c r="B2735" s="2" t="s">
        <v>6726</v>
      </c>
      <c r="C2735" s="2" t="s">
        <v>59</v>
      </c>
      <c r="D2735" s="2" t="s">
        <v>18</v>
      </c>
      <c r="E2735" s="5">
        <v>-29388</v>
      </c>
      <c r="F2735" s="3" t="s">
        <v>879</v>
      </c>
      <c r="G2735" s="3" t="s">
        <v>296</v>
      </c>
      <c r="H2735" s="2" t="s">
        <v>65</v>
      </c>
      <c r="I2735" s="2" t="s">
        <v>6727</v>
      </c>
      <c r="J2735" s="3" t="str">
        <f>HYPERLINK("https://www.boe.es/gazeta/dias/1819/07/15/pdfs/GMD-1819-85.pdf#page=4","Abrir facsímil")</f>
        <v>Abrir facsímil</v>
      </c>
      <c r="K2735" s="3" t="s">
        <v>67</v>
      </c>
    </row>
    <row r="2736" spans="1:11" ht="42" customHeight="1">
      <c r="A2736" s="2" t="s">
        <v>6728</v>
      </c>
      <c r="B2736" s="2" t="s">
        <v>6729</v>
      </c>
      <c r="C2736" s="2" t="s">
        <v>80</v>
      </c>
      <c r="D2736" s="2" t="s">
        <v>81</v>
      </c>
      <c r="E2736" s="5">
        <v>-29297</v>
      </c>
      <c r="F2736" s="3" t="s">
        <v>82</v>
      </c>
      <c r="G2736" s="3" t="s">
        <v>33</v>
      </c>
      <c r="H2736" s="2" t="s">
        <v>65</v>
      </c>
      <c r="I2736" s="2" t="s">
        <v>6730</v>
      </c>
      <c r="J2736" s="3" t="str">
        <f>HYPERLINK("https://www.boe.es/gazeta/dias/1819/10/14/pdfs/GMD-1819-126.pdf#page=6","Abrir facsímil")</f>
        <v>Abrir facsímil</v>
      </c>
      <c r="K2736" s="3" t="s">
        <v>67</v>
      </c>
    </row>
    <row r="2737" spans="1:11" ht="42" customHeight="1">
      <c r="A2737" s="2" t="s">
        <v>6731</v>
      </c>
      <c r="B2737" s="2" t="s">
        <v>6732</v>
      </c>
      <c r="C2737" s="2" t="s">
        <v>136</v>
      </c>
      <c r="D2737" s="2" t="s">
        <v>18</v>
      </c>
      <c r="E2737" s="5">
        <v>-29330</v>
      </c>
      <c r="F2737" s="3" t="s">
        <v>1406</v>
      </c>
      <c r="G2737" s="3" t="s">
        <v>28</v>
      </c>
      <c r="H2737" s="2" t="s">
        <v>65</v>
      </c>
      <c r="I2737" s="2" t="s">
        <v>6733</v>
      </c>
      <c r="J2737" s="3" t="str">
        <f>HYPERLINK("https://www.boe.es/gazeta/dias/1819/09/11/pdfs/GMD-1819-111.pdf#page=8","Abrir facsímil")</f>
        <v>Abrir facsímil</v>
      </c>
      <c r="K2737" s="3" t="s">
        <v>67</v>
      </c>
    </row>
    <row r="2738" spans="1:11" ht="42" customHeight="1">
      <c r="A2738" s="2" t="s">
        <v>6731</v>
      </c>
      <c r="B2738" s="2" t="s">
        <v>6732</v>
      </c>
      <c r="C2738" s="2" t="s">
        <v>63</v>
      </c>
      <c r="D2738" s="2" t="s">
        <v>43</v>
      </c>
      <c r="E2738" s="5">
        <v>-29306</v>
      </c>
      <c r="F2738" s="3" t="s">
        <v>303</v>
      </c>
      <c r="G2738" s="3" t="s">
        <v>28</v>
      </c>
      <c r="H2738" s="2" t="s">
        <v>65</v>
      </c>
      <c r="I2738" s="2" t="s">
        <v>6734</v>
      </c>
      <c r="J2738" s="3" t="str">
        <f>HYPERLINK("https://www.boe.es/gazeta/dias/1819/10/05/pdfs/GMD-1819-122.pdf#page=8","Abrir facsímil")</f>
        <v>Abrir facsímil</v>
      </c>
      <c r="K2738" s="3" t="s">
        <v>67</v>
      </c>
    </row>
    <row r="2739" spans="1:11" ht="42" customHeight="1">
      <c r="A2739" s="2" t="s">
        <v>6735</v>
      </c>
      <c r="B2739" s="2" t="s">
        <v>6736</v>
      </c>
      <c r="C2739" s="2" t="s">
        <v>80</v>
      </c>
      <c r="D2739" s="2" t="s">
        <v>81</v>
      </c>
      <c r="E2739" s="5">
        <v>-29535</v>
      </c>
      <c r="F2739" s="3" t="s">
        <v>200</v>
      </c>
      <c r="G2739" s="3" t="s">
        <v>102</v>
      </c>
      <c r="H2739" s="2" t="s">
        <v>65</v>
      </c>
      <c r="I2739" s="2" t="s">
        <v>6737</v>
      </c>
      <c r="J2739" s="3" t="str">
        <f>HYPERLINK("https://www.boe.es/gazeta/dias/1819/02/18/pdfs/GMD-1819-21.pdf#page=3","Abrir facsímil")</f>
        <v>Abrir facsímil</v>
      </c>
      <c r="K2739" s="3" t="s">
        <v>67</v>
      </c>
    </row>
    <row r="2740" spans="1:11" ht="42" customHeight="1">
      <c r="A2740" s="2" t="s">
        <v>6738</v>
      </c>
      <c r="B2740" s="2" t="s">
        <v>6739</v>
      </c>
      <c r="C2740" s="2" t="s">
        <v>136</v>
      </c>
      <c r="D2740" s="2" t="s">
        <v>18</v>
      </c>
      <c r="E2740" s="5">
        <v>-29260</v>
      </c>
      <c r="F2740" s="3" t="s">
        <v>93</v>
      </c>
      <c r="G2740" s="3" t="s">
        <v>1275</v>
      </c>
      <c r="H2740" s="2" t="s">
        <v>65</v>
      </c>
      <c r="I2740" s="2" t="s">
        <v>6740</v>
      </c>
      <c r="J2740" s="3" t="str">
        <f>HYPERLINK("https://www.boe.es/gazeta/dias/1819/11/20/pdfs/GMD-1819-143.pdf#page=10","Abrir facsímil")</f>
        <v>Abrir facsímil</v>
      </c>
      <c r="K2740" s="3" t="s">
        <v>67</v>
      </c>
    </row>
    <row r="2741" spans="1:11" ht="42" customHeight="1">
      <c r="A2741" s="2" t="s">
        <v>6741</v>
      </c>
      <c r="B2741" s="2" t="s">
        <v>6741</v>
      </c>
      <c r="C2741" s="2" t="s">
        <v>80</v>
      </c>
      <c r="D2741" s="2" t="s">
        <v>81</v>
      </c>
      <c r="E2741" s="5">
        <v>-29535</v>
      </c>
      <c r="F2741" s="3" t="s">
        <v>200</v>
      </c>
      <c r="G2741" s="3" t="s">
        <v>33</v>
      </c>
      <c r="H2741" s="2" t="s">
        <v>65</v>
      </c>
      <c r="I2741" s="2" t="s">
        <v>6742</v>
      </c>
      <c r="J2741" s="3" t="str">
        <f>HYPERLINK("https://www.boe.es/gazeta/dias/1819/02/18/pdfs/GMD-1819-21.pdf#page=6","Abrir facsímil")</f>
        <v>Abrir facsímil</v>
      </c>
      <c r="K2741" s="3" t="s">
        <v>67</v>
      </c>
    </row>
    <row r="2742" spans="1:11" ht="42" customHeight="1">
      <c r="A2742" s="2" t="s">
        <v>6743</v>
      </c>
      <c r="B2742" s="2" t="s">
        <v>6744</v>
      </c>
      <c r="C2742" s="2" t="s">
        <v>80</v>
      </c>
      <c r="D2742" s="2" t="s">
        <v>81</v>
      </c>
      <c r="E2742" s="5">
        <v>-29297</v>
      </c>
      <c r="F2742" s="3" t="s">
        <v>82</v>
      </c>
      <c r="G2742" s="3" t="s">
        <v>33</v>
      </c>
      <c r="H2742" s="2" t="s">
        <v>65</v>
      </c>
      <c r="I2742" s="2" t="s">
        <v>6745</v>
      </c>
      <c r="J2742" s="3" t="str">
        <f>HYPERLINK("https://www.boe.es/gazeta/dias/1819/10/14/pdfs/GMD-1819-126.pdf#page=6","Abrir facsímil")</f>
        <v>Abrir facsímil</v>
      </c>
      <c r="K2742" s="3" t="s">
        <v>67</v>
      </c>
    </row>
    <row r="2743" spans="1:11" ht="42" customHeight="1">
      <c r="A2743" s="2" t="s">
        <v>6746</v>
      </c>
      <c r="B2743" s="2" t="s">
        <v>6747</v>
      </c>
      <c r="C2743" s="2" t="s">
        <v>80</v>
      </c>
      <c r="D2743" s="2" t="s">
        <v>81</v>
      </c>
      <c r="E2743" s="5">
        <v>-29246</v>
      </c>
      <c r="F2743" s="3" t="s">
        <v>494</v>
      </c>
      <c r="G2743" s="3" t="s">
        <v>5787</v>
      </c>
      <c r="H2743" s="2" t="s">
        <v>21</v>
      </c>
      <c r="I2743" s="2" t="s">
        <v>6748</v>
      </c>
      <c r="J2743" s="3" t="str">
        <f>HYPERLINK("https://www.boe.es/gazeta/dias/1819/12/04/pdfs/GMD-1819-149.pdf#page=5","Abrir facsímil")</f>
        <v>Abrir facsímil</v>
      </c>
      <c r="K2743" s="3" t="s">
        <v>23</v>
      </c>
    </row>
    <row r="2744" spans="1:11" ht="42" customHeight="1">
      <c r="A2744" s="2" t="s">
        <v>6749</v>
      </c>
      <c r="B2744" s="2" t="s">
        <v>6750</v>
      </c>
      <c r="C2744" s="2" t="s">
        <v>80</v>
      </c>
      <c r="D2744" s="2" t="s">
        <v>81</v>
      </c>
      <c r="E2744" s="5">
        <v>-29262</v>
      </c>
      <c r="F2744" s="3" t="s">
        <v>1428</v>
      </c>
      <c r="G2744" s="3" t="s">
        <v>33</v>
      </c>
      <c r="H2744" s="2" t="s">
        <v>21</v>
      </c>
      <c r="I2744" s="2" t="s">
        <v>6751</v>
      </c>
      <c r="J2744" s="3" t="str">
        <f>HYPERLINK("https://www.boe.es/gazeta/dias/1819/11/18/pdfs/GMD-1819-142.pdf#page=6","Abrir facsímil")</f>
        <v>Abrir facsímil</v>
      </c>
      <c r="K2744" s="3" t="s">
        <v>23</v>
      </c>
    </row>
    <row r="2745" spans="1:11" ht="42" customHeight="1">
      <c r="A2745" s="2" t="s">
        <v>6752</v>
      </c>
      <c r="B2745" s="2" t="s">
        <v>6753</v>
      </c>
      <c r="C2745" s="2" t="s">
        <v>80</v>
      </c>
      <c r="D2745" s="2" t="s">
        <v>454</v>
      </c>
      <c r="E2745" s="5">
        <v>-29287</v>
      </c>
      <c r="F2745" s="3" t="s">
        <v>455</v>
      </c>
      <c r="G2745" s="3" t="s">
        <v>481</v>
      </c>
      <c r="H2745" s="2" t="s">
        <v>65</v>
      </c>
      <c r="I2745" s="2" t="s">
        <v>6754</v>
      </c>
      <c r="J2745" s="3" t="str">
        <f>HYPERLINK("https://www.boe.es/gazeta/dias/1819/10/24/pdfs/GMD-1819-131E.pdf#page=8","Abrir facsímil")</f>
        <v>Abrir facsímil</v>
      </c>
      <c r="K2745" s="3" t="s">
        <v>67</v>
      </c>
    </row>
    <row r="2746" spans="1:11" ht="42" customHeight="1">
      <c r="A2746" s="2" t="s">
        <v>6755</v>
      </c>
      <c r="B2746" s="2" t="s">
        <v>6756</v>
      </c>
      <c r="C2746" s="2" t="s">
        <v>63</v>
      </c>
      <c r="D2746" s="2" t="s">
        <v>43</v>
      </c>
      <c r="E2746" s="5">
        <v>-29316</v>
      </c>
      <c r="F2746" s="3" t="s">
        <v>166</v>
      </c>
      <c r="G2746" s="3" t="s">
        <v>28</v>
      </c>
      <c r="H2746" s="2" t="s">
        <v>65</v>
      </c>
      <c r="I2746" s="2" t="s">
        <v>6757</v>
      </c>
      <c r="J2746" s="3" t="str">
        <f>HYPERLINK("https://www.boe.es/gazeta/dias/1819/09/25/pdfs/GMD-1819-118.pdf#page=8","Abrir facsímil")</f>
        <v>Abrir facsímil</v>
      </c>
      <c r="K2746" s="3" t="s">
        <v>67</v>
      </c>
    </row>
    <row r="2747" spans="1:11" ht="42" customHeight="1">
      <c r="A2747" s="2" t="s">
        <v>6758</v>
      </c>
      <c r="B2747" s="2" t="s">
        <v>6759</v>
      </c>
      <c r="C2747" s="2" t="s">
        <v>63</v>
      </c>
      <c r="D2747" s="2" t="s">
        <v>43</v>
      </c>
      <c r="E2747" s="5">
        <v>-29416</v>
      </c>
      <c r="F2747" s="3" t="s">
        <v>251</v>
      </c>
      <c r="G2747" s="3" t="s">
        <v>55</v>
      </c>
      <c r="H2747" s="2" t="s">
        <v>65</v>
      </c>
      <c r="I2747" s="2" t="s">
        <v>6760</v>
      </c>
      <c r="J2747" s="3" t="str">
        <f>HYPERLINK("https://www.boe.es/gazeta/dias/1819/06/17/pdfs/GMD-1819-73.pdf#page=7","Abrir facsímil")</f>
        <v>Abrir facsímil</v>
      </c>
      <c r="K2747" s="3" t="s">
        <v>67</v>
      </c>
    </row>
    <row r="2748" spans="1:11" ht="42" customHeight="1">
      <c r="A2748" s="2" t="s">
        <v>6761</v>
      </c>
      <c r="B2748" s="2" t="s">
        <v>6761</v>
      </c>
      <c r="C2748" s="2" t="s">
        <v>80</v>
      </c>
      <c r="D2748" s="2" t="s">
        <v>81</v>
      </c>
      <c r="E2748" s="5">
        <v>-29267</v>
      </c>
      <c r="F2748" s="3" t="s">
        <v>370</v>
      </c>
      <c r="G2748" s="3" t="s">
        <v>28</v>
      </c>
      <c r="H2748" s="2" t="s">
        <v>65</v>
      </c>
      <c r="I2748" s="2" t="s">
        <v>6762</v>
      </c>
      <c r="J2748" s="3" t="str">
        <f>HYPERLINK("https://www.boe.es/gazeta/dias/1819/11/13/pdfs/GMD-1819-140.pdf#page=8","Abrir facsímil")</f>
        <v>Abrir facsímil</v>
      </c>
      <c r="K2748" s="3" t="s">
        <v>67</v>
      </c>
    </row>
    <row r="2749" spans="1:11" ht="42" customHeight="1">
      <c r="A2749" s="2" t="s">
        <v>6763</v>
      </c>
      <c r="B2749" s="2" t="s">
        <v>6764</v>
      </c>
      <c r="C2749" s="2" t="s">
        <v>63</v>
      </c>
      <c r="D2749" s="2" t="s">
        <v>43</v>
      </c>
      <c r="E2749" s="5">
        <v>-29430</v>
      </c>
      <c r="F2749" s="3" t="s">
        <v>178</v>
      </c>
      <c r="G2749" s="3" t="s">
        <v>55</v>
      </c>
      <c r="H2749" s="2" t="s">
        <v>21</v>
      </c>
      <c r="I2749" s="2" t="s">
        <v>6765</v>
      </c>
      <c r="J2749" s="3" t="str">
        <f>HYPERLINK("https://www.boe.es/gazeta/dias/1819/06/03/pdfs/GMD-1819-66.pdf#page=7","Abrir facsímil")</f>
        <v>Abrir facsímil</v>
      </c>
      <c r="K2749" s="3" t="s">
        <v>23</v>
      </c>
    </row>
    <row r="2750" spans="1:11" ht="42" customHeight="1">
      <c r="A2750" s="2" t="s">
        <v>6766</v>
      </c>
      <c r="B2750" s="2" t="s">
        <v>6767</v>
      </c>
      <c r="C2750" s="2" t="s">
        <v>59</v>
      </c>
      <c r="D2750" s="2" t="s">
        <v>18</v>
      </c>
      <c r="E2750" s="5">
        <v>-29355</v>
      </c>
      <c r="F2750" s="3" t="s">
        <v>347</v>
      </c>
      <c r="G2750" s="3" t="s">
        <v>348</v>
      </c>
      <c r="H2750" s="2" t="s">
        <v>65</v>
      </c>
      <c r="I2750" s="2" t="s">
        <v>6768</v>
      </c>
      <c r="J2750" s="3" t="str">
        <f>HYPERLINK("https://www.boe.es/gazeta/dias/1819/08/17/pdfs/GMD-1819-99.pdf#page=6","Abrir facsímil")</f>
        <v>Abrir facsímil</v>
      </c>
      <c r="K2750" s="3" t="s">
        <v>67</v>
      </c>
    </row>
    <row r="2751" spans="1:11" ht="42" customHeight="1">
      <c r="A2751" s="2" t="s">
        <v>6769</v>
      </c>
      <c r="B2751" s="2" t="s">
        <v>6770</v>
      </c>
      <c r="C2751" s="2" t="s">
        <v>80</v>
      </c>
      <c r="D2751" s="2" t="s">
        <v>454</v>
      </c>
      <c r="E2751" s="5">
        <v>-29287</v>
      </c>
      <c r="F2751" s="3" t="s">
        <v>455</v>
      </c>
      <c r="G2751" s="3" t="s">
        <v>481</v>
      </c>
      <c r="H2751" s="2" t="s">
        <v>65</v>
      </c>
      <c r="I2751" s="2" t="s">
        <v>6771</v>
      </c>
      <c r="J2751" s="3" t="str">
        <f>HYPERLINK("https://www.boe.es/gazeta/dias/1819/10/24/pdfs/GMD-1819-131E.pdf#page=8","Abrir facsímil")</f>
        <v>Abrir facsímil</v>
      </c>
      <c r="K2751" s="3" t="s">
        <v>67</v>
      </c>
    </row>
    <row r="2752" spans="1:11" ht="42" customHeight="1">
      <c r="A2752" s="2" t="s">
        <v>6772</v>
      </c>
      <c r="B2752" s="2" t="s">
        <v>6773</v>
      </c>
      <c r="C2752" s="2" t="s">
        <v>80</v>
      </c>
      <c r="D2752" s="2" t="s">
        <v>81</v>
      </c>
      <c r="E2752" s="5">
        <v>-29288</v>
      </c>
      <c r="F2752" s="3" t="s">
        <v>334</v>
      </c>
      <c r="G2752" s="3" t="s">
        <v>1122</v>
      </c>
      <c r="H2752" s="2" t="s">
        <v>65</v>
      </c>
      <c r="I2752" s="2" t="s">
        <v>6774</v>
      </c>
      <c r="J2752" s="3" t="str">
        <f>HYPERLINK("https://www.boe.es/gazeta/dias/1819/10/23/pdfs/GMD-1819-130.pdf#page=5","Abrir facsímil")</f>
        <v>Abrir facsímil</v>
      </c>
      <c r="K2752" s="3" t="s">
        <v>67</v>
      </c>
    </row>
    <row r="2753" spans="1:11" ht="42" customHeight="1">
      <c r="A2753" s="2" t="s">
        <v>6775</v>
      </c>
      <c r="B2753" s="2" t="s">
        <v>6776</v>
      </c>
      <c r="C2753" s="2" t="s">
        <v>80</v>
      </c>
      <c r="D2753" s="2" t="s">
        <v>81</v>
      </c>
      <c r="E2753" s="5">
        <v>-29561</v>
      </c>
      <c r="F2753" s="3" t="s">
        <v>290</v>
      </c>
      <c r="G2753" s="3" t="s">
        <v>28</v>
      </c>
      <c r="H2753" s="2" t="s">
        <v>65</v>
      </c>
      <c r="I2753" s="2" t="s">
        <v>6777</v>
      </c>
      <c r="J2753" s="3" t="str">
        <f>HYPERLINK("https://www.boe.es/gazeta/dias/1819/01/23/pdfs/GMD-1819-10.pdf#page=8","Abrir facsímil")</f>
        <v>Abrir facsímil</v>
      </c>
      <c r="K2753" s="3" t="s">
        <v>67</v>
      </c>
    </row>
    <row r="2754" spans="1:11" ht="42" customHeight="1">
      <c r="A2754" s="2" t="s">
        <v>6778</v>
      </c>
      <c r="B2754" s="2" t="s">
        <v>6779</v>
      </c>
      <c r="C2754" s="2" t="s">
        <v>80</v>
      </c>
      <c r="D2754" s="2" t="s">
        <v>81</v>
      </c>
      <c r="E2754" s="5">
        <v>-29309</v>
      </c>
      <c r="F2754" s="3" t="s">
        <v>476</v>
      </c>
      <c r="G2754" s="3" t="s">
        <v>55</v>
      </c>
      <c r="H2754" s="2" t="s">
        <v>65</v>
      </c>
      <c r="I2754" s="2" t="s">
        <v>6780</v>
      </c>
      <c r="J2754" s="3" t="str">
        <f>HYPERLINK("https://www.boe.es/gazeta/dias/1819/10/02/pdfs/GMD-1819-121.pdf#page=7","Abrir facsímil")</f>
        <v>Abrir facsímil</v>
      </c>
      <c r="K2754" s="3" t="s">
        <v>67</v>
      </c>
    </row>
    <row r="2755" spans="1:11" ht="42" customHeight="1">
      <c r="A2755" s="2" t="s">
        <v>6781</v>
      </c>
      <c r="B2755" s="2" t="s">
        <v>6781</v>
      </c>
      <c r="C2755" s="2" t="s">
        <v>80</v>
      </c>
      <c r="D2755" s="2" t="s">
        <v>81</v>
      </c>
      <c r="E2755" s="5">
        <v>-29495</v>
      </c>
      <c r="F2755" s="3" t="s">
        <v>992</v>
      </c>
      <c r="G2755" s="3" t="s">
        <v>33</v>
      </c>
      <c r="H2755" s="2" t="s">
        <v>65</v>
      </c>
      <c r="I2755" s="2" t="s">
        <v>6782</v>
      </c>
      <c r="J2755" s="3" t="str">
        <f>HYPERLINK("https://www.boe.es/gazeta/dias/1819/03/30/pdfs/GMD-1819-38.pdf#page=6","Abrir facsímil")</f>
        <v>Abrir facsímil</v>
      </c>
      <c r="K2755" s="3" t="s">
        <v>67</v>
      </c>
    </row>
    <row r="2756" spans="1:11" ht="42" customHeight="1">
      <c r="A2756" s="2" t="s">
        <v>6783</v>
      </c>
      <c r="B2756" s="2" t="s">
        <v>6784</v>
      </c>
      <c r="C2756" s="2" t="s">
        <v>80</v>
      </c>
      <c r="D2756" s="2" t="s">
        <v>81</v>
      </c>
      <c r="E2756" s="5">
        <v>-29495</v>
      </c>
      <c r="F2756" s="3" t="s">
        <v>992</v>
      </c>
      <c r="G2756" s="3" t="s">
        <v>33</v>
      </c>
      <c r="H2756" s="2" t="s">
        <v>65</v>
      </c>
      <c r="I2756" s="2" t="s">
        <v>6785</v>
      </c>
      <c r="J2756" s="3" t="str">
        <f>HYPERLINK("https://www.boe.es/gazeta/dias/1819/03/30/pdfs/GMD-1819-38.pdf#page=6","Abrir facsímil")</f>
        <v>Abrir facsímil</v>
      </c>
      <c r="K2756" s="3" t="s">
        <v>67</v>
      </c>
    </row>
    <row r="2757" spans="1:11" ht="42" customHeight="1">
      <c r="A2757" s="2" t="s">
        <v>6786</v>
      </c>
      <c r="B2757" s="2" t="s">
        <v>6787</v>
      </c>
      <c r="C2757" s="2" t="s">
        <v>63</v>
      </c>
      <c r="D2757" s="2" t="s">
        <v>43</v>
      </c>
      <c r="E2757" s="5">
        <v>-29260</v>
      </c>
      <c r="F2757" s="3" t="s">
        <v>93</v>
      </c>
      <c r="G2757" s="3" t="s">
        <v>138</v>
      </c>
      <c r="H2757" s="2" t="s">
        <v>65</v>
      </c>
      <c r="I2757" s="2" t="s">
        <v>6788</v>
      </c>
      <c r="J2757" s="3" t="str">
        <f>HYPERLINK("https://www.boe.es/gazeta/dias/1819/11/20/pdfs/GMD-1819-143.pdf#page=12","Abrir facsímil")</f>
        <v>Abrir facsímil</v>
      </c>
      <c r="K2757" s="3" t="s">
        <v>67</v>
      </c>
    </row>
    <row r="2758" spans="1:11" ht="42" customHeight="1">
      <c r="A2758" s="2" t="s">
        <v>6789</v>
      </c>
      <c r="B2758" s="2" t="s">
        <v>6790</v>
      </c>
      <c r="C2758" s="2" t="s">
        <v>63</v>
      </c>
      <c r="D2758" s="2" t="s">
        <v>43</v>
      </c>
      <c r="E2758" s="5">
        <v>-29297</v>
      </c>
      <c r="F2758" s="3" t="s">
        <v>82</v>
      </c>
      <c r="G2758" s="3" t="s">
        <v>38</v>
      </c>
      <c r="H2758" s="2" t="s">
        <v>65</v>
      </c>
      <c r="I2758" s="2" t="s">
        <v>6791</v>
      </c>
      <c r="J2758" s="3" t="str">
        <f>HYPERLINK("https://www.boe.es/gazeta/dias/1819/10/14/pdfs/GMD-1819-126.pdf#page=5","Abrir facsímil")</f>
        <v>Abrir facsímil</v>
      </c>
      <c r="K2758" s="3" t="s">
        <v>67</v>
      </c>
    </row>
    <row r="2759" spans="1:11" ht="42" customHeight="1">
      <c r="A2759" s="2" t="s">
        <v>6792</v>
      </c>
      <c r="B2759" s="2" t="s">
        <v>6793</v>
      </c>
      <c r="C2759" s="2" t="s">
        <v>26</v>
      </c>
      <c r="D2759" s="2" t="s">
        <v>18</v>
      </c>
      <c r="E2759" s="5">
        <v>-29451</v>
      </c>
      <c r="F2759" s="3" t="s">
        <v>208</v>
      </c>
      <c r="G2759" s="3" t="s">
        <v>28</v>
      </c>
      <c r="H2759" s="2" t="s">
        <v>65</v>
      </c>
      <c r="I2759" s="2" t="s">
        <v>6794</v>
      </c>
      <c r="J2759" s="3" t="str">
        <f>HYPERLINK("https://www.boe.es/gazeta/dias/1819/05/13/pdfs/GMD-1819-57.pdf#page=8","Abrir facsímil")</f>
        <v>Abrir facsímil</v>
      </c>
      <c r="K2759" s="3" t="s">
        <v>67</v>
      </c>
    </row>
    <row r="2760" spans="1:11" ht="42" customHeight="1">
      <c r="A2760" s="2" t="s">
        <v>6795</v>
      </c>
      <c r="B2760" s="2" t="s">
        <v>6796</v>
      </c>
      <c r="C2760" s="2" t="s">
        <v>59</v>
      </c>
      <c r="D2760" s="2" t="s">
        <v>18</v>
      </c>
      <c r="E2760" s="5">
        <v>-29260</v>
      </c>
      <c r="F2760" s="3" t="s">
        <v>93</v>
      </c>
      <c r="G2760" s="3" t="s">
        <v>33</v>
      </c>
      <c r="H2760" s="2" t="s">
        <v>21</v>
      </c>
      <c r="I2760" s="2" t="s">
        <v>6797</v>
      </c>
      <c r="J2760" s="3" t="str">
        <f>HYPERLINK("https://www.boe.es/gazeta/dias/1819/11/20/pdfs/GMD-1819-143.pdf#page=6","Abrir facsímil")</f>
        <v>Abrir facsímil</v>
      </c>
      <c r="K2760" s="3" t="s">
        <v>23</v>
      </c>
    </row>
    <row r="2761" spans="1:11" ht="42" customHeight="1">
      <c r="A2761" s="2" t="s">
        <v>6798</v>
      </c>
      <c r="B2761" s="2" t="s">
        <v>6799</v>
      </c>
      <c r="C2761" s="2" t="s">
        <v>80</v>
      </c>
      <c r="D2761" s="2" t="s">
        <v>81</v>
      </c>
      <c r="E2761" s="5">
        <v>-29358</v>
      </c>
      <c r="F2761" s="3" t="s">
        <v>170</v>
      </c>
      <c r="G2761" s="3" t="s">
        <v>38</v>
      </c>
      <c r="H2761" s="2" t="s">
        <v>65</v>
      </c>
      <c r="I2761" s="2" t="s">
        <v>6800</v>
      </c>
      <c r="J2761" s="3" t="str">
        <f>HYPERLINK("https://www.boe.es/gazeta/dias/1819/08/14/pdfs/GMD-1819-98.pdf#page=5","Abrir facsímil")</f>
        <v>Abrir facsímil</v>
      </c>
      <c r="K2761" s="3" t="s">
        <v>67</v>
      </c>
    </row>
    <row r="2762" spans="1:11" ht="42" customHeight="1">
      <c r="A2762" s="2" t="s">
        <v>6801</v>
      </c>
      <c r="B2762" s="2" t="s">
        <v>6802</v>
      </c>
      <c r="C2762" s="2" t="s">
        <v>80</v>
      </c>
      <c r="D2762" s="2" t="s">
        <v>81</v>
      </c>
      <c r="E2762" s="5">
        <v>-29407</v>
      </c>
      <c r="F2762" s="3" t="s">
        <v>64</v>
      </c>
      <c r="G2762" s="3" t="s">
        <v>33</v>
      </c>
      <c r="H2762" s="2" t="s">
        <v>65</v>
      </c>
      <c r="I2762" s="2" t="s">
        <v>6803</v>
      </c>
      <c r="J2762" s="3" t="str">
        <f>HYPERLINK("https://www.boe.es/gazeta/dias/1819/06/26/pdfs/GMD-1819-77.pdf#page=6","Abrir facsímil")</f>
        <v>Abrir facsímil</v>
      </c>
      <c r="K2762" s="3" t="s">
        <v>67</v>
      </c>
    </row>
    <row r="2763" spans="1:11" ht="42" customHeight="1">
      <c r="A2763" s="2" t="s">
        <v>6804</v>
      </c>
      <c r="B2763" s="2" t="s">
        <v>6805</v>
      </c>
      <c r="C2763" s="2" t="s">
        <v>63</v>
      </c>
      <c r="D2763" s="2" t="s">
        <v>43</v>
      </c>
      <c r="E2763" s="5">
        <v>-29232</v>
      </c>
      <c r="F2763" s="3" t="s">
        <v>752</v>
      </c>
      <c r="G2763" s="3" t="s">
        <v>753</v>
      </c>
      <c r="H2763" s="2" t="s">
        <v>65</v>
      </c>
      <c r="I2763" s="2" t="s">
        <v>6806</v>
      </c>
      <c r="J2763" s="3" t="str">
        <f>HYPERLINK("https://www.boe.es/gazeta/dias/1819/12/18/pdfs/GMD-1819-155.pdf#page=7","Abrir facsímil")</f>
        <v>Abrir facsímil</v>
      </c>
      <c r="K2763" s="3" t="s">
        <v>67</v>
      </c>
    </row>
    <row r="2764" spans="1:11" ht="42" customHeight="1">
      <c r="A2764" s="2" t="s">
        <v>6807</v>
      </c>
      <c r="B2764" s="2" t="s">
        <v>6808</v>
      </c>
      <c r="C2764" s="2" t="s">
        <v>63</v>
      </c>
      <c r="D2764" s="2" t="s">
        <v>43</v>
      </c>
      <c r="E2764" s="5">
        <v>-29264</v>
      </c>
      <c r="F2764" s="3" t="s">
        <v>37</v>
      </c>
      <c r="G2764" s="3" t="s">
        <v>38</v>
      </c>
      <c r="H2764" s="2" t="s">
        <v>65</v>
      </c>
      <c r="I2764" s="2" t="s">
        <v>6809</v>
      </c>
      <c r="J2764" s="3" t="str">
        <f>HYPERLINK("https://www.boe.es/gazeta/dias/1819/11/16/pdfs/GMD-1819-141.pdf#page=5","Abrir facsímil")</f>
        <v>Abrir facsímil</v>
      </c>
      <c r="K2764" s="3" t="s">
        <v>67</v>
      </c>
    </row>
    <row r="2765" spans="1:11" ht="42" customHeight="1">
      <c r="A2765" s="2" t="s">
        <v>6810</v>
      </c>
      <c r="B2765" s="2" t="s">
        <v>6811</v>
      </c>
      <c r="C2765" s="2" t="s">
        <v>63</v>
      </c>
      <c r="D2765" s="2" t="s">
        <v>43</v>
      </c>
      <c r="E2765" s="5">
        <v>-29351</v>
      </c>
      <c r="F2765" s="3" t="s">
        <v>101</v>
      </c>
      <c r="G2765" s="3" t="s">
        <v>33</v>
      </c>
      <c r="H2765" s="2" t="s">
        <v>65</v>
      </c>
      <c r="I2765" s="2" t="s">
        <v>6812</v>
      </c>
      <c r="J2765" s="3" t="str">
        <f>HYPERLINK("https://www.boe.es/gazeta/dias/1819/08/21/pdfs/GMD-1819-101.pdf#page=6","Abrir facsímil")</f>
        <v>Abrir facsímil</v>
      </c>
      <c r="K2765" s="3" t="s">
        <v>67</v>
      </c>
    </row>
    <row r="2766" spans="1:11" ht="42" customHeight="1">
      <c r="A2766" s="2" t="s">
        <v>6813</v>
      </c>
      <c r="B2766" s="2" t="s">
        <v>6814</v>
      </c>
      <c r="C2766" s="2" t="s">
        <v>59</v>
      </c>
      <c r="D2766" s="2" t="s">
        <v>18</v>
      </c>
      <c r="E2766" s="5">
        <v>-29325</v>
      </c>
      <c r="F2766" s="3" t="s">
        <v>174</v>
      </c>
      <c r="G2766" s="3" t="s">
        <v>33</v>
      </c>
      <c r="H2766" s="2" t="s">
        <v>65</v>
      </c>
      <c r="I2766" s="2" t="s">
        <v>6815</v>
      </c>
      <c r="J2766" s="3" t="str">
        <f>HYPERLINK("https://www.boe.es/gazeta/dias/1819/09/16/pdfs/GMD-1819-113.pdf#page=6","Abrir facsímil")</f>
        <v>Abrir facsímil</v>
      </c>
      <c r="K2766" s="3" t="s">
        <v>67</v>
      </c>
    </row>
    <row r="2767" spans="1:11" ht="42" customHeight="1">
      <c r="A2767" s="2" t="s">
        <v>6816</v>
      </c>
      <c r="B2767" s="2" t="s">
        <v>6817</v>
      </c>
      <c r="C2767" s="2" t="s">
        <v>80</v>
      </c>
      <c r="D2767" s="2" t="s">
        <v>81</v>
      </c>
      <c r="E2767" s="5">
        <v>-29297</v>
      </c>
      <c r="F2767" s="3" t="s">
        <v>82</v>
      </c>
      <c r="G2767" s="3" t="s">
        <v>33</v>
      </c>
      <c r="H2767" s="2" t="s">
        <v>65</v>
      </c>
      <c r="I2767" s="2" t="s">
        <v>6818</v>
      </c>
      <c r="J2767" s="3" t="str">
        <f>HYPERLINK("https://www.boe.es/gazeta/dias/1819/10/14/pdfs/GMD-1819-126.pdf#page=6","Abrir facsímil")</f>
        <v>Abrir facsímil</v>
      </c>
      <c r="K2767" s="3" t="s">
        <v>67</v>
      </c>
    </row>
    <row r="2768" spans="1:11" ht="42" customHeight="1">
      <c r="A2768" s="2" t="s">
        <v>6819</v>
      </c>
      <c r="B2768" s="2" t="s">
        <v>6820</v>
      </c>
      <c r="C2768" s="2" t="s">
        <v>59</v>
      </c>
      <c r="D2768" s="2" t="s">
        <v>18</v>
      </c>
      <c r="E2768" s="5">
        <v>-29325</v>
      </c>
      <c r="F2768" s="3" t="s">
        <v>174</v>
      </c>
      <c r="G2768" s="3" t="s">
        <v>33</v>
      </c>
      <c r="H2768" s="2" t="s">
        <v>65</v>
      </c>
      <c r="I2768" s="2" t="s">
        <v>6821</v>
      </c>
      <c r="J2768" s="3" t="str">
        <f>HYPERLINK("https://www.boe.es/gazeta/dias/1819/09/16/pdfs/GMD-1819-113.pdf#page=6","Abrir facsímil")</f>
        <v>Abrir facsímil</v>
      </c>
      <c r="K2768" s="3" t="s">
        <v>67</v>
      </c>
    </row>
    <row r="2769" spans="1:11" ht="42" customHeight="1">
      <c r="A2769" s="2" t="s">
        <v>6822</v>
      </c>
      <c r="B2769" s="2" t="s">
        <v>6823</v>
      </c>
      <c r="C2769" s="2" t="s">
        <v>80</v>
      </c>
      <c r="D2769" s="2" t="s">
        <v>81</v>
      </c>
      <c r="E2769" s="5">
        <v>-29297</v>
      </c>
      <c r="F2769" s="3" t="s">
        <v>82</v>
      </c>
      <c r="G2769" s="3" t="s">
        <v>33</v>
      </c>
      <c r="H2769" s="2" t="s">
        <v>65</v>
      </c>
      <c r="I2769" s="2" t="s">
        <v>6824</v>
      </c>
      <c r="J2769" s="3" t="str">
        <f>HYPERLINK("https://www.boe.es/gazeta/dias/1819/10/14/pdfs/GMD-1819-126.pdf#page=6","Abrir facsímil")</f>
        <v>Abrir facsímil</v>
      </c>
      <c r="K2769" s="3" t="s">
        <v>67</v>
      </c>
    </row>
    <row r="2770" spans="1:11" ht="42" customHeight="1">
      <c r="A2770" s="2" t="s">
        <v>6825</v>
      </c>
      <c r="B2770" s="2" t="s">
        <v>6826</v>
      </c>
      <c r="C2770" s="2" t="s">
        <v>59</v>
      </c>
      <c r="D2770" s="2" t="s">
        <v>18</v>
      </c>
      <c r="E2770" s="5">
        <v>-29425</v>
      </c>
      <c r="F2770" s="3" t="s">
        <v>110</v>
      </c>
      <c r="G2770" s="3" t="s">
        <v>55</v>
      </c>
      <c r="H2770" s="2" t="s">
        <v>65</v>
      </c>
      <c r="I2770" s="2" t="s">
        <v>6827</v>
      </c>
      <c r="J2770" s="3" t="str">
        <f>HYPERLINK("https://www.boe.es/gazeta/dias/1819/06/08/pdfs/GMD-1819-68.pdf#page=7","Abrir facsímil")</f>
        <v>Abrir facsímil</v>
      </c>
      <c r="K2770" s="3" t="s">
        <v>67</v>
      </c>
    </row>
    <row r="2771" spans="1:11" ht="42" customHeight="1">
      <c r="A2771" s="2" t="s">
        <v>6828</v>
      </c>
      <c r="B2771" s="2" t="s">
        <v>6829</v>
      </c>
      <c r="C2771" s="2" t="s">
        <v>59</v>
      </c>
      <c r="D2771" s="2" t="s">
        <v>18</v>
      </c>
      <c r="E2771" s="5">
        <v>-29302</v>
      </c>
      <c r="F2771" s="3" t="s">
        <v>4877</v>
      </c>
      <c r="G2771" s="3" t="s">
        <v>6830</v>
      </c>
      <c r="H2771" s="2" t="s">
        <v>65</v>
      </c>
      <c r="I2771" s="2" t="s">
        <v>6831</v>
      </c>
      <c r="J2771" s="3" t="str">
        <f>HYPERLINK("https://www.boe.es/gazeta/dias/1819/10/09/pdfs/GMD-1819-124.pdf#page=7","Abrir facsímil")</f>
        <v>Abrir facsímil</v>
      </c>
      <c r="K2771" s="3" t="s">
        <v>67</v>
      </c>
    </row>
    <row r="2772" spans="1:11" ht="42" customHeight="1">
      <c r="A2772" s="2" t="s">
        <v>6832</v>
      </c>
      <c r="B2772" s="2" t="s">
        <v>6833</v>
      </c>
      <c r="C2772" s="2" t="s">
        <v>17</v>
      </c>
      <c r="D2772" s="2" t="s">
        <v>18</v>
      </c>
      <c r="E2772" s="5">
        <v>-29257</v>
      </c>
      <c r="F2772" s="3" t="s">
        <v>73</v>
      </c>
      <c r="G2772" s="3" t="s">
        <v>826</v>
      </c>
      <c r="H2772" s="2" t="s">
        <v>65</v>
      </c>
      <c r="I2772" s="2" t="s">
        <v>6834</v>
      </c>
      <c r="J2772" s="3" t="str">
        <f>HYPERLINK("https://www.boe.es/gazeta/dias/1819/11/23/pdfs/GMD-1819-144.pdf#page=11","Abrir facsímil")</f>
        <v>Abrir facsímil</v>
      </c>
      <c r="K2772" s="3" t="s">
        <v>67</v>
      </c>
    </row>
    <row r="2773" spans="1:11" ht="42" customHeight="1">
      <c r="A2773" s="2" t="s">
        <v>6835</v>
      </c>
      <c r="B2773" s="2" t="s">
        <v>6835</v>
      </c>
      <c r="C2773" s="2" t="s">
        <v>215</v>
      </c>
      <c r="D2773" s="2" t="s">
        <v>18</v>
      </c>
      <c r="E2773" s="5">
        <v>-29229</v>
      </c>
      <c r="F2773" s="3" t="s">
        <v>44</v>
      </c>
      <c r="G2773" s="3" t="s">
        <v>239</v>
      </c>
      <c r="H2773" s="2" t="s">
        <v>65</v>
      </c>
      <c r="I2773" s="2" t="s">
        <v>6836</v>
      </c>
      <c r="J2773" s="3" t="str">
        <f>HYPERLINK("https://www.boe.es/gazeta/dias/1819/12/21/pdfs/GMD-1819-156.pdf#page=1","Abrir facsímil")</f>
        <v>Abrir facsímil</v>
      </c>
      <c r="K2773" s="3" t="s">
        <v>67</v>
      </c>
    </row>
    <row r="2774" spans="1:11" ht="42" customHeight="1">
      <c r="A2774" s="2" t="s">
        <v>6837</v>
      </c>
      <c r="B2774" s="2" t="s">
        <v>6837</v>
      </c>
      <c r="C2774" s="2" t="s">
        <v>80</v>
      </c>
      <c r="D2774" s="2" t="s">
        <v>81</v>
      </c>
      <c r="E2774" s="5">
        <v>-29530</v>
      </c>
      <c r="F2774" s="3" t="s">
        <v>202</v>
      </c>
      <c r="G2774" s="3" t="s">
        <v>55</v>
      </c>
      <c r="H2774" s="2" t="s">
        <v>65</v>
      </c>
      <c r="I2774" s="2" t="s">
        <v>6838</v>
      </c>
      <c r="J2774" s="3" t="str">
        <f>HYPERLINK("https://www.boe.es/gazeta/dias/1819/02/23/pdfs/GMD-1819-23.pdf#page=7","Abrir facsímil")</f>
        <v>Abrir facsímil</v>
      </c>
      <c r="K2774" s="3" t="s">
        <v>67</v>
      </c>
    </row>
    <row r="2775" spans="1:11" ht="42" customHeight="1">
      <c r="A2775" s="2" t="s">
        <v>6839</v>
      </c>
      <c r="B2775" s="2" t="s">
        <v>6840</v>
      </c>
      <c r="C2775" s="2" t="s">
        <v>80</v>
      </c>
      <c r="D2775" s="2" t="s">
        <v>81</v>
      </c>
      <c r="E2775" s="5">
        <v>-29577</v>
      </c>
      <c r="F2775" s="3" t="s">
        <v>1008</v>
      </c>
      <c r="G2775" s="3" t="s">
        <v>28</v>
      </c>
      <c r="H2775" s="2" t="s">
        <v>65</v>
      </c>
      <c r="I2775" s="2" t="s">
        <v>6841</v>
      </c>
      <c r="J2775" s="3" t="str">
        <f>HYPERLINK("https://www.boe.es/gazeta/dias/1819/01/07/pdfs/GMD-1819-3.pdf#page=8","Abrir facsímil")</f>
        <v>Abrir facsímil</v>
      </c>
      <c r="K2775" s="3" t="s">
        <v>67</v>
      </c>
    </row>
    <row r="2776" spans="1:11" ht="42" customHeight="1">
      <c r="A2776" s="2" t="s">
        <v>6842</v>
      </c>
      <c r="B2776" s="2" t="s">
        <v>6842</v>
      </c>
      <c r="C2776" s="2" t="s">
        <v>26</v>
      </c>
      <c r="D2776" s="2" t="s">
        <v>18</v>
      </c>
      <c r="E2776" s="5">
        <v>-29500</v>
      </c>
      <c r="F2776" s="3" t="s">
        <v>212</v>
      </c>
      <c r="G2776" s="3" t="s">
        <v>239</v>
      </c>
      <c r="H2776" s="2" t="s">
        <v>65</v>
      </c>
      <c r="I2776" s="2" t="s">
        <v>6843</v>
      </c>
      <c r="J2776" s="3" t="str">
        <f>HYPERLINK("https://www.boe.es/gazeta/dias/1819/03/25/pdfs/GMD-1819-36.pdf#page=1","Abrir facsímil")</f>
        <v>Abrir facsímil</v>
      </c>
      <c r="K2776" s="3" t="s">
        <v>67</v>
      </c>
    </row>
    <row r="2777" spans="1:11" ht="42" customHeight="1">
      <c r="A2777" s="2" t="s">
        <v>6844</v>
      </c>
      <c r="B2777" s="2" t="s">
        <v>6845</v>
      </c>
      <c r="C2777" s="2" t="s">
        <v>80</v>
      </c>
      <c r="D2777" s="2" t="s">
        <v>81</v>
      </c>
      <c r="E2777" s="5">
        <v>-29369</v>
      </c>
      <c r="F2777" s="3" t="s">
        <v>231</v>
      </c>
      <c r="G2777" s="3" t="s">
        <v>232</v>
      </c>
      <c r="H2777" s="2" t="s">
        <v>65</v>
      </c>
      <c r="I2777" s="2" t="s">
        <v>6846</v>
      </c>
      <c r="J2777" s="3" t="str">
        <f>HYPERLINK("https://www.boe.es/gazeta/dias/1819/08/03/pdfs/GMD-1819-93.pdf#page=5","Abrir facsímil")</f>
        <v>Abrir facsímil</v>
      </c>
      <c r="K2777" s="3" t="s">
        <v>67</v>
      </c>
    </row>
    <row r="2778" spans="1:11" ht="42" customHeight="1">
      <c r="A2778" s="2" t="s">
        <v>6847</v>
      </c>
      <c r="B2778" s="2" t="s">
        <v>6848</v>
      </c>
      <c r="C2778" s="2" t="s">
        <v>80</v>
      </c>
      <c r="D2778" s="2" t="s">
        <v>81</v>
      </c>
      <c r="E2778" s="5">
        <v>-29463</v>
      </c>
      <c r="F2778" s="3" t="s">
        <v>114</v>
      </c>
      <c r="G2778" s="3" t="s">
        <v>28</v>
      </c>
      <c r="H2778" s="2" t="s">
        <v>65</v>
      </c>
      <c r="I2778" s="2" t="s">
        <v>6849</v>
      </c>
      <c r="J2778" s="3" t="str">
        <f>HYPERLINK("https://www.boe.es/gazeta/dias/1819/05/01/pdfs/GMD-1819-52.pdf#page=8","Abrir facsímil")</f>
        <v>Abrir facsímil</v>
      </c>
      <c r="K2778" s="3" t="s">
        <v>67</v>
      </c>
    </row>
    <row r="2779" spans="1:11" ht="42" customHeight="1">
      <c r="A2779" s="2" t="s">
        <v>6850</v>
      </c>
      <c r="B2779" s="2" t="s">
        <v>6851</v>
      </c>
      <c r="C2779" s="2" t="s">
        <v>80</v>
      </c>
      <c r="D2779" s="2" t="s">
        <v>81</v>
      </c>
      <c r="E2779" s="5">
        <v>-29458</v>
      </c>
      <c r="F2779" s="3" t="s">
        <v>766</v>
      </c>
      <c r="G2779" s="3" t="s">
        <v>28</v>
      </c>
      <c r="H2779" s="2" t="s">
        <v>65</v>
      </c>
      <c r="I2779" s="2" t="s">
        <v>6852</v>
      </c>
      <c r="J2779" s="3" t="str">
        <f>HYPERLINK("https://www.boe.es/gazeta/dias/1819/05/06/pdfs/GMD-1819-54.pdf#page=8","Abrir facsímil")</f>
        <v>Abrir facsímil</v>
      </c>
      <c r="K2779" s="3" t="s">
        <v>67</v>
      </c>
    </row>
    <row r="2780" spans="1:11" ht="42" customHeight="1">
      <c r="A2780" s="2" t="s">
        <v>6850</v>
      </c>
      <c r="B2780" s="2" t="s">
        <v>6851</v>
      </c>
      <c r="C2780" s="2" t="s">
        <v>80</v>
      </c>
      <c r="D2780" s="2" t="s">
        <v>81</v>
      </c>
      <c r="E2780" s="5">
        <v>-29400</v>
      </c>
      <c r="F2780" s="3" t="s">
        <v>2181</v>
      </c>
      <c r="G2780" s="3" t="s">
        <v>2182</v>
      </c>
      <c r="H2780" s="2" t="s">
        <v>65</v>
      </c>
      <c r="I2780" s="2" t="s">
        <v>6853</v>
      </c>
      <c r="J2780" s="3" t="str">
        <f>HYPERLINK("https://www.boe.es/gazeta/dias/1819/07/03/pdfs/GMD-1819-80.pdf#page=8","Abrir facsímil")</f>
        <v>Abrir facsímil</v>
      </c>
      <c r="K2780" s="3" t="s">
        <v>67</v>
      </c>
    </row>
    <row r="2781" spans="1:11" ht="42" customHeight="1">
      <c r="A2781" s="2" t="s">
        <v>6850</v>
      </c>
      <c r="B2781" s="2" t="s">
        <v>6851</v>
      </c>
      <c r="C2781" s="2" t="s">
        <v>80</v>
      </c>
      <c r="D2781" s="2" t="s">
        <v>81</v>
      </c>
      <c r="E2781" s="5">
        <v>-29386</v>
      </c>
      <c r="F2781" s="3" t="s">
        <v>568</v>
      </c>
      <c r="G2781" s="3" t="s">
        <v>55</v>
      </c>
      <c r="H2781" s="2" t="s">
        <v>65</v>
      </c>
      <c r="I2781" s="2" t="s">
        <v>6854</v>
      </c>
      <c r="J2781" s="3" t="str">
        <f>HYPERLINK("https://www.boe.es/gazeta/dias/1819/07/17/pdfs/GMD-1819-86.pdf#page=7","Abrir facsímil")</f>
        <v>Abrir facsímil</v>
      </c>
      <c r="K2781" s="3" t="s">
        <v>67</v>
      </c>
    </row>
    <row r="2782" spans="1:11" ht="42" customHeight="1">
      <c r="A2782" s="2" t="s">
        <v>6850</v>
      </c>
      <c r="B2782" s="2" t="s">
        <v>6851</v>
      </c>
      <c r="C2782" s="2" t="s">
        <v>80</v>
      </c>
      <c r="D2782" s="2" t="s">
        <v>81</v>
      </c>
      <c r="E2782" s="5">
        <v>-29248</v>
      </c>
      <c r="F2782" s="3" t="s">
        <v>395</v>
      </c>
      <c r="G2782" s="3" t="s">
        <v>94</v>
      </c>
      <c r="H2782" s="2" t="s">
        <v>65</v>
      </c>
      <c r="I2782" s="2" t="s">
        <v>6855</v>
      </c>
      <c r="J2782" s="3" t="str">
        <f>HYPERLINK("https://www.boe.es/gazeta/dias/1819/12/02/pdfs/GMD-1819-148.pdf#page=11","Abrir facsímil")</f>
        <v>Abrir facsímil</v>
      </c>
      <c r="K2782" s="3" t="s">
        <v>67</v>
      </c>
    </row>
    <row r="2783" spans="1:11" ht="42" customHeight="1">
      <c r="A2783" s="2" t="s">
        <v>6850</v>
      </c>
      <c r="B2783" s="2" t="s">
        <v>6851</v>
      </c>
      <c r="C2783" s="2" t="s">
        <v>80</v>
      </c>
      <c r="D2783" s="2" t="s">
        <v>81</v>
      </c>
      <c r="E2783" s="5">
        <v>-29246</v>
      </c>
      <c r="F2783" s="3" t="s">
        <v>494</v>
      </c>
      <c r="G2783" s="3" t="s">
        <v>1995</v>
      </c>
      <c r="H2783" s="2" t="s">
        <v>65</v>
      </c>
      <c r="I2783" s="2" t="s">
        <v>6856</v>
      </c>
      <c r="J2783" s="3" t="str">
        <f>HYPERLINK("https://www.boe.es/gazeta/dias/1819/12/04/pdfs/GMD-1819-149.pdf#page=8","Abrir facsímil")</f>
        <v>Abrir facsímil</v>
      </c>
      <c r="K2783" s="3" t="s">
        <v>67</v>
      </c>
    </row>
    <row r="2784" spans="1:11" ht="42" customHeight="1">
      <c r="A2784" s="2" t="s">
        <v>6857</v>
      </c>
      <c r="B2784" s="2" t="s">
        <v>6858</v>
      </c>
      <c r="C2784" s="2" t="s">
        <v>59</v>
      </c>
      <c r="D2784" s="2" t="s">
        <v>18</v>
      </c>
      <c r="E2784" s="5">
        <v>-29369</v>
      </c>
      <c r="F2784" s="3" t="s">
        <v>231</v>
      </c>
      <c r="G2784" s="3" t="s">
        <v>28</v>
      </c>
      <c r="H2784" s="2" t="s">
        <v>65</v>
      </c>
      <c r="I2784" s="2" t="s">
        <v>6859</v>
      </c>
      <c r="J2784" s="3" t="str">
        <f>HYPERLINK("https://www.boe.es/gazeta/dias/1819/08/03/pdfs/GMD-1819-93.pdf#page=8","Abrir facsímil")</f>
        <v>Abrir facsímil</v>
      </c>
      <c r="K2784" s="3" t="s">
        <v>67</v>
      </c>
    </row>
    <row r="2785" spans="1:11" ht="42" customHeight="1">
      <c r="A2785" s="2" t="s">
        <v>6860</v>
      </c>
      <c r="B2785" s="2" t="s">
        <v>6861</v>
      </c>
      <c r="C2785" s="2" t="s">
        <v>59</v>
      </c>
      <c r="D2785" s="2" t="s">
        <v>18</v>
      </c>
      <c r="E2785" s="5">
        <v>-29325</v>
      </c>
      <c r="F2785" s="3" t="s">
        <v>174</v>
      </c>
      <c r="G2785" s="3" t="s">
        <v>33</v>
      </c>
      <c r="H2785" s="2" t="s">
        <v>65</v>
      </c>
      <c r="I2785" s="2" t="s">
        <v>6862</v>
      </c>
      <c r="J2785" s="3" t="str">
        <f>HYPERLINK("https://www.boe.es/gazeta/dias/1819/09/16/pdfs/GMD-1819-113.pdf#page=6","Abrir facsímil")</f>
        <v>Abrir facsímil</v>
      </c>
      <c r="K2785" s="3" t="s">
        <v>67</v>
      </c>
    </row>
    <row r="2786" spans="1:11" ht="42" customHeight="1">
      <c r="A2786" s="2" t="s">
        <v>6863</v>
      </c>
      <c r="B2786" s="2" t="s">
        <v>6864</v>
      </c>
      <c r="C2786" s="2" t="s">
        <v>59</v>
      </c>
      <c r="D2786" s="2" t="s">
        <v>18</v>
      </c>
      <c r="E2786" s="5">
        <v>-29348</v>
      </c>
      <c r="F2786" s="3" t="s">
        <v>227</v>
      </c>
      <c r="G2786" s="3" t="s">
        <v>5715</v>
      </c>
      <c r="H2786" s="2" t="s">
        <v>65</v>
      </c>
      <c r="I2786" s="2" t="s">
        <v>6865</v>
      </c>
      <c r="J2786" s="3" t="str">
        <f>HYPERLINK("https://www.boe.es/gazeta/dias/1819/08/24/pdfs/GMD-1819-102.pdf#page=6","Abrir facsímil")</f>
        <v>Abrir facsímil</v>
      </c>
      <c r="K2786" s="3" t="s">
        <v>67</v>
      </c>
    </row>
    <row r="2787" spans="1:11" ht="42" customHeight="1">
      <c r="A2787" s="2" t="s">
        <v>6866</v>
      </c>
      <c r="B2787" s="2" t="s">
        <v>6867</v>
      </c>
      <c r="C2787" s="2" t="s">
        <v>59</v>
      </c>
      <c r="D2787" s="2" t="s">
        <v>18</v>
      </c>
      <c r="E2787" s="5">
        <v>-29325</v>
      </c>
      <c r="F2787" s="3" t="s">
        <v>174</v>
      </c>
      <c r="G2787" s="3" t="s">
        <v>33</v>
      </c>
      <c r="H2787" s="2" t="s">
        <v>65</v>
      </c>
      <c r="I2787" s="2" t="s">
        <v>6868</v>
      </c>
      <c r="J2787" s="3" t="str">
        <f>HYPERLINK("https://www.boe.es/gazeta/dias/1819/09/16/pdfs/GMD-1819-113.pdf#page=6","Abrir facsímil")</f>
        <v>Abrir facsímil</v>
      </c>
      <c r="K2787" s="3" t="s">
        <v>67</v>
      </c>
    </row>
    <row r="2788" spans="1:11" ht="42" customHeight="1">
      <c r="A2788" s="2" t="s">
        <v>6869</v>
      </c>
      <c r="B2788" s="2" t="s">
        <v>6870</v>
      </c>
      <c r="C2788" s="2" t="s">
        <v>80</v>
      </c>
      <c r="D2788" s="2" t="s">
        <v>81</v>
      </c>
      <c r="E2788" s="5">
        <v>-29341</v>
      </c>
      <c r="F2788" s="3" t="s">
        <v>806</v>
      </c>
      <c r="G2788" s="3" t="s">
        <v>28</v>
      </c>
      <c r="H2788" s="2" t="s">
        <v>65</v>
      </c>
      <c r="I2788" s="2" t="s">
        <v>6871</v>
      </c>
      <c r="J2788" s="3" t="str">
        <f>HYPERLINK("https://www.boe.es/gazeta/dias/1819/08/31/pdfs/GMD-1819-105.pdf#page=8","Abrir facsímil")</f>
        <v>Abrir facsímil</v>
      </c>
      <c r="K2788" s="3" t="s">
        <v>67</v>
      </c>
    </row>
    <row r="2789" spans="1:11" ht="42" customHeight="1">
      <c r="A2789" s="2" t="s">
        <v>6872</v>
      </c>
      <c r="B2789" s="2" t="s">
        <v>6873</v>
      </c>
      <c r="C2789" s="2" t="s">
        <v>59</v>
      </c>
      <c r="D2789" s="2" t="s">
        <v>18</v>
      </c>
      <c r="E2789" s="5">
        <v>-29285</v>
      </c>
      <c r="F2789" s="3" t="s">
        <v>578</v>
      </c>
      <c r="G2789" s="3" t="s">
        <v>28</v>
      </c>
      <c r="H2789" s="2" t="s">
        <v>65</v>
      </c>
      <c r="I2789" s="2" t="s">
        <v>6874</v>
      </c>
      <c r="J2789" s="3" t="str">
        <f>HYPERLINK("https://www.boe.es/gazeta/dias/1819/10/26/pdfs/GMD-1819-132.pdf#page=8","Abrir facsímil")</f>
        <v>Abrir facsímil</v>
      </c>
      <c r="K2789" s="3" t="s">
        <v>67</v>
      </c>
    </row>
    <row r="2790" spans="1:11" ht="42" customHeight="1">
      <c r="A2790" s="2" t="s">
        <v>6875</v>
      </c>
      <c r="B2790" s="2" t="s">
        <v>6876</v>
      </c>
      <c r="C2790" s="2" t="s">
        <v>246</v>
      </c>
      <c r="D2790" s="2" t="s">
        <v>18</v>
      </c>
      <c r="E2790" s="5">
        <v>-29495</v>
      </c>
      <c r="F2790" s="3" t="s">
        <v>992</v>
      </c>
      <c r="G2790" s="3" t="s">
        <v>993</v>
      </c>
      <c r="H2790" s="2" t="s">
        <v>65</v>
      </c>
      <c r="I2790" s="2" t="s">
        <v>6877</v>
      </c>
      <c r="J2790" s="3" t="str">
        <f>HYPERLINK("https://www.boe.es/gazeta/dias/1819/03/30/pdfs/GMD-1819-38.pdf#page=12","Abrir facsímil")</f>
        <v>Abrir facsímil</v>
      </c>
      <c r="K2790" s="3" t="s">
        <v>67</v>
      </c>
    </row>
    <row r="2791" spans="1:11" ht="42" customHeight="1">
      <c r="A2791" s="2" t="s">
        <v>6878</v>
      </c>
      <c r="B2791" s="2" t="s">
        <v>6879</v>
      </c>
      <c r="C2791" s="2" t="s">
        <v>63</v>
      </c>
      <c r="D2791" s="2" t="s">
        <v>43</v>
      </c>
      <c r="E2791" s="5">
        <v>-29353</v>
      </c>
      <c r="F2791" s="3" t="s">
        <v>867</v>
      </c>
      <c r="G2791" s="3" t="s">
        <v>28</v>
      </c>
      <c r="H2791" s="2" t="s">
        <v>21</v>
      </c>
      <c r="I2791" s="2" t="s">
        <v>6880</v>
      </c>
      <c r="J2791" s="3" t="str">
        <f>HYPERLINK("https://www.boe.es/gazeta/dias/1819/08/19/pdfs/GMD-1819-100.pdf#page=8","Abrir facsímil")</f>
        <v>Abrir facsímil</v>
      </c>
      <c r="K2791" s="3" t="s">
        <v>23</v>
      </c>
    </row>
    <row r="2792" spans="1:11" ht="42" customHeight="1">
      <c r="A2792" s="2" t="s">
        <v>6881</v>
      </c>
      <c r="B2792" s="2" t="s">
        <v>6882</v>
      </c>
      <c r="C2792" s="2" t="s">
        <v>136</v>
      </c>
      <c r="D2792" s="2" t="s">
        <v>18</v>
      </c>
      <c r="E2792" s="5">
        <v>-29521</v>
      </c>
      <c r="F2792" s="3" t="s">
        <v>1002</v>
      </c>
      <c r="G2792" s="3" t="s">
        <v>55</v>
      </c>
      <c r="H2792" s="2" t="s">
        <v>65</v>
      </c>
      <c r="I2792" s="2" t="s">
        <v>6883</v>
      </c>
      <c r="J2792" s="3" t="str">
        <f>HYPERLINK("https://www.boe.es/gazeta/dias/1819/03/04/pdfs/GMD-1819-27.pdf#page=7","Abrir facsímil")</f>
        <v>Abrir facsímil</v>
      </c>
      <c r="K2792" s="3" t="s">
        <v>67</v>
      </c>
    </row>
    <row r="2793" spans="1:11" ht="42" customHeight="1">
      <c r="A2793" s="2" t="s">
        <v>6884</v>
      </c>
      <c r="B2793" s="2" t="s">
        <v>6885</v>
      </c>
      <c r="C2793" s="2" t="s">
        <v>80</v>
      </c>
      <c r="D2793" s="2" t="s">
        <v>81</v>
      </c>
      <c r="E2793" s="5">
        <v>-29341</v>
      </c>
      <c r="F2793" s="3" t="s">
        <v>806</v>
      </c>
      <c r="G2793" s="3" t="s">
        <v>28</v>
      </c>
      <c r="H2793" s="2" t="s">
        <v>65</v>
      </c>
      <c r="I2793" s="2" t="s">
        <v>6886</v>
      </c>
      <c r="J2793" s="3" t="str">
        <f>HYPERLINK("https://www.boe.es/gazeta/dias/1819/08/31/pdfs/GMD-1819-105.pdf#page=8","Abrir facsímil")</f>
        <v>Abrir facsímil</v>
      </c>
      <c r="K2793" s="3" t="s">
        <v>67</v>
      </c>
    </row>
    <row r="2794" spans="1:11" ht="42" customHeight="1">
      <c r="A2794" s="2" t="s">
        <v>6887</v>
      </c>
      <c r="B2794" s="2" t="s">
        <v>6888</v>
      </c>
      <c r="C2794" s="2" t="s">
        <v>136</v>
      </c>
      <c r="D2794" s="2" t="s">
        <v>18</v>
      </c>
      <c r="E2794" s="5">
        <v>-29521</v>
      </c>
      <c r="F2794" s="3" t="s">
        <v>1002</v>
      </c>
      <c r="G2794" s="3" t="s">
        <v>55</v>
      </c>
      <c r="H2794" s="2" t="s">
        <v>65</v>
      </c>
      <c r="I2794" s="2" t="s">
        <v>6889</v>
      </c>
      <c r="J2794" s="3" t="str">
        <f>HYPERLINK("https://www.boe.es/gazeta/dias/1819/03/04/pdfs/GMD-1819-27.pdf#page=7","Abrir facsímil")</f>
        <v>Abrir facsímil</v>
      </c>
      <c r="K2794" s="3" t="s">
        <v>67</v>
      </c>
    </row>
    <row r="2795" spans="1:11" ht="42" customHeight="1">
      <c r="A2795" s="2" t="s">
        <v>6890</v>
      </c>
      <c r="B2795" s="2" t="s">
        <v>6891</v>
      </c>
      <c r="C2795" s="2" t="s">
        <v>17</v>
      </c>
      <c r="D2795" s="2" t="s">
        <v>18</v>
      </c>
      <c r="E2795" s="5">
        <v>-29367</v>
      </c>
      <c r="F2795" s="3" t="s">
        <v>571</v>
      </c>
      <c r="G2795" s="3" t="s">
        <v>28</v>
      </c>
      <c r="H2795" s="2" t="s">
        <v>65</v>
      </c>
      <c r="I2795" s="2" t="s">
        <v>6892</v>
      </c>
      <c r="J2795" s="3" t="str">
        <f>HYPERLINK("https://www.boe.es/gazeta/dias/1819/08/05/pdfs/GMD-1819-94.pdf#page=8","Abrir facsímil")</f>
        <v>Abrir facsímil</v>
      </c>
      <c r="K2795" s="3" t="s">
        <v>67</v>
      </c>
    </row>
    <row r="2796" spans="1:11" ht="42" customHeight="1">
      <c r="A2796" s="2" t="s">
        <v>6890</v>
      </c>
      <c r="B2796" s="2" t="s">
        <v>6891</v>
      </c>
      <c r="C2796" s="2" t="s">
        <v>42</v>
      </c>
      <c r="D2796" s="2" t="s">
        <v>43</v>
      </c>
      <c r="E2796" s="5">
        <v>-29318</v>
      </c>
      <c r="F2796" s="3" t="s">
        <v>1442</v>
      </c>
      <c r="G2796" s="3" t="s">
        <v>1443</v>
      </c>
      <c r="H2796" s="2" t="s">
        <v>65</v>
      </c>
      <c r="I2796" s="2" t="s">
        <v>6893</v>
      </c>
      <c r="J2796" s="3" t="str">
        <f>HYPERLINK("https://www.boe.es/gazeta/dias/1819/09/23/pdfs/GMD-1819-117.pdf#page=8","Abrir facsímil")</f>
        <v>Abrir facsímil</v>
      </c>
      <c r="K2796" s="3" t="s">
        <v>67</v>
      </c>
    </row>
    <row r="2797" spans="1:11" ht="42" customHeight="1">
      <c r="A2797" s="2" t="s">
        <v>6894</v>
      </c>
      <c r="B2797" s="2" t="s">
        <v>6895</v>
      </c>
      <c r="C2797" s="2" t="s">
        <v>63</v>
      </c>
      <c r="D2797" s="2" t="s">
        <v>43</v>
      </c>
      <c r="E2797" s="5">
        <v>-29365</v>
      </c>
      <c r="F2797" s="3" t="s">
        <v>218</v>
      </c>
      <c r="G2797" s="3" t="s">
        <v>38</v>
      </c>
      <c r="H2797" s="2" t="s">
        <v>65</v>
      </c>
      <c r="I2797" s="2" t="s">
        <v>6896</v>
      </c>
      <c r="J2797" s="3" t="str">
        <f>HYPERLINK("https://www.boe.es/gazeta/dias/1819/08/07/pdfs/GMD-1819-95.pdf#page=5","Abrir facsímil")</f>
        <v>Abrir facsímil</v>
      </c>
      <c r="K2797" s="3" t="s">
        <v>67</v>
      </c>
    </row>
    <row r="2798" spans="1:11" ht="42" customHeight="1">
      <c r="A2798" s="2" t="s">
        <v>6897</v>
      </c>
      <c r="B2798" s="2" t="s">
        <v>6898</v>
      </c>
      <c r="C2798" s="2" t="s">
        <v>63</v>
      </c>
      <c r="D2798" s="2" t="s">
        <v>43</v>
      </c>
      <c r="E2798" s="5">
        <v>-29523</v>
      </c>
      <c r="F2798" s="3" t="s">
        <v>436</v>
      </c>
      <c r="G2798" s="3" t="s">
        <v>437</v>
      </c>
      <c r="H2798" s="2" t="s">
        <v>65</v>
      </c>
      <c r="I2798" s="2" t="s">
        <v>6899</v>
      </c>
      <c r="J2798" s="3" t="str">
        <f>HYPERLINK("https://www.boe.es/gazeta/dias/1819/03/02/pdfs/GMD-1819-26.pdf#page=5","Abrir facsímil")</f>
        <v>Abrir facsímil</v>
      </c>
      <c r="K2798" s="3" t="s">
        <v>67</v>
      </c>
    </row>
    <row r="2799" spans="1:11" ht="42" customHeight="1">
      <c r="A2799" s="2" t="s">
        <v>6900</v>
      </c>
      <c r="B2799" s="2" t="s">
        <v>6901</v>
      </c>
      <c r="C2799" s="2" t="s">
        <v>59</v>
      </c>
      <c r="D2799" s="2" t="s">
        <v>18</v>
      </c>
      <c r="E2799" s="5">
        <v>-29572</v>
      </c>
      <c r="F2799" s="3" t="s">
        <v>589</v>
      </c>
      <c r="G2799" s="3" t="s">
        <v>55</v>
      </c>
      <c r="H2799" s="2" t="s">
        <v>65</v>
      </c>
      <c r="I2799" s="2" t="s">
        <v>6902</v>
      </c>
      <c r="J2799" s="3" t="str">
        <f>HYPERLINK("https://www.boe.es/gazeta/dias/1819/01/12/pdfs/GMD-1819-5.pdf#page=7","Abrir facsímil")</f>
        <v>Abrir facsímil</v>
      </c>
      <c r="K2799" s="3" t="s">
        <v>67</v>
      </c>
    </row>
    <row r="2800" spans="1:11" ht="42" customHeight="1">
      <c r="A2800" s="2" t="s">
        <v>6903</v>
      </c>
      <c r="B2800" s="2" t="s">
        <v>6904</v>
      </c>
      <c r="C2800" s="2" t="s">
        <v>63</v>
      </c>
      <c r="D2800" s="2" t="s">
        <v>43</v>
      </c>
      <c r="E2800" s="5">
        <v>-29432</v>
      </c>
      <c r="F2800" s="3" t="s">
        <v>1967</v>
      </c>
      <c r="G2800" s="3" t="s">
        <v>28</v>
      </c>
      <c r="H2800" s="2" t="s">
        <v>65</v>
      </c>
      <c r="I2800" s="2" t="s">
        <v>6905</v>
      </c>
      <c r="J2800" s="3" t="str">
        <f>HYPERLINK("https://www.boe.es/gazeta/dias/1819/06/01/pdfs/GMD-1819-65.pdf#page=8","Abrir facsímil")</f>
        <v>Abrir facsímil</v>
      </c>
      <c r="K2800" s="3" t="s">
        <v>67</v>
      </c>
    </row>
    <row r="2801" spans="1:11" ht="42" customHeight="1">
      <c r="A2801" s="2" t="s">
        <v>6903</v>
      </c>
      <c r="B2801" s="2" t="s">
        <v>6904</v>
      </c>
      <c r="C2801" s="2" t="s">
        <v>63</v>
      </c>
      <c r="D2801" s="2" t="s">
        <v>43</v>
      </c>
      <c r="E2801" s="5">
        <v>-29355</v>
      </c>
      <c r="F2801" s="3" t="s">
        <v>347</v>
      </c>
      <c r="G2801" s="3" t="s">
        <v>28</v>
      </c>
      <c r="H2801" s="2" t="s">
        <v>65</v>
      </c>
      <c r="I2801" s="2" t="s">
        <v>6906</v>
      </c>
      <c r="J2801" s="3" t="str">
        <f>HYPERLINK("https://www.boe.es/gazeta/dias/1819/08/17/pdfs/GMD-1819-99.pdf#page=8","Abrir facsímil")</f>
        <v>Abrir facsímil</v>
      </c>
      <c r="K2801" s="3" t="s">
        <v>67</v>
      </c>
    </row>
    <row r="2802" spans="1:11" ht="42" customHeight="1">
      <c r="A2802" s="2" t="s">
        <v>6903</v>
      </c>
      <c r="B2802" s="2" t="s">
        <v>6904</v>
      </c>
      <c r="C2802" s="2" t="s">
        <v>63</v>
      </c>
      <c r="D2802" s="2" t="s">
        <v>43</v>
      </c>
      <c r="E2802" s="5">
        <v>-29332</v>
      </c>
      <c r="F2802" s="3" t="s">
        <v>499</v>
      </c>
      <c r="G2802" s="3" t="s">
        <v>28</v>
      </c>
      <c r="H2802" s="2" t="s">
        <v>65</v>
      </c>
      <c r="I2802" s="2" t="s">
        <v>6907</v>
      </c>
      <c r="J2802" s="3" t="str">
        <f>HYPERLINK("https://www.boe.es/gazeta/dias/1819/09/09/pdfs/GMD-1819-110.pdf#page=8","Abrir facsímil")</f>
        <v>Abrir facsímil</v>
      </c>
      <c r="K2802" s="3" t="s">
        <v>67</v>
      </c>
    </row>
    <row r="2803" spans="1:11" ht="42" customHeight="1">
      <c r="A2803" s="2" t="s">
        <v>6903</v>
      </c>
      <c r="B2803" s="2" t="s">
        <v>6904</v>
      </c>
      <c r="C2803" s="2" t="s">
        <v>63</v>
      </c>
      <c r="D2803" s="2" t="s">
        <v>43</v>
      </c>
      <c r="E2803" s="5">
        <v>-29330</v>
      </c>
      <c r="F2803" s="3" t="s">
        <v>1406</v>
      </c>
      <c r="G2803" s="3" t="s">
        <v>28</v>
      </c>
      <c r="H2803" s="2" t="s">
        <v>65</v>
      </c>
      <c r="I2803" s="2" t="s">
        <v>6908</v>
      </c>
      <c r="J2803" s="3" t="str">
        <f>HYPERLINK("https://www.boe.es/gazeta/dias/1819/09/11/pdfs/GMD-1819-111.pdf#page=8","Abrir facsímil")</f>
        <v>Abrir facsímil</v>
      </c>
      <c r="K2803" s="3" t="s">
        <v>67</v>
      </c>
    </row>
    <row r="2804" spans="1:11" ht="42" customHeight="1">
      <c r="A2804" s="2" t="s">
        <v>6903</v>
      </c>
      <c r="B2804" s="2" t="s">
        <v>6904</v>
      </c>
      <c r="C2804" s="2" t="s">
        <v>63</v>
      </c>
      <c r="D2804" s="2" t="s">
        <v>43</v>
      </c>
      <c r="E2804" s="5">
        <v>-29316</v>
      </c>
      <c r="F2804" s="3" t="s">
        <v>166</v>
      </c>
      <c r="G2804" s="3" t="s">
        <v>28</v>
      </c>
      <c r="H2804" s="2" t="s">
        <v>65</v>
      </c>
      <c r="I2804" s="2" t="s">
        <v>6909</v>
      </c>
      <c r="J2804" s="3" t="str">
        <f>HYPERLINK("https://www.boe.es/gazeta/dias/1819/09/25/pdfs/GMD-1819-118.pdf#page=8","Abrir facsímil")</f>
        <v>Abrir facsímil</v>
      </c>
      <c r="K2804" s="3" t="s">
        <v>67</v>
      </c>
    </row>
    <row r="2805" spans="1:11" ht="42" customHeight="1">
      <c r="A2805" s="2" t="s">
        <v>6903</v>
      </c>
      <c r="B2805" s="2" t="s">
        <v>6904</v>
      </c>
      <c r="C2805" s="2" t="s">
        <v>63</v>
      </c>
      <c r="D2805" s="2" t="s">
        <v>43</v>
      </c>
      <c r="E2805" s="5">
        <v>-29299</v>
      </c>
      <c r="F2805" s="3" t="s">
        <v>798</v>
      </c>
      <c r="G2805" s="3" t="s">
        <v>1562</v>
      </c>
      <c r="H2805" s="2" t="s">
        <v>65</v>
      </c>
      <c r="I2805" s="2" t="s">
        <v>6910</v>
      </c>
      <c r="J2805" s="3" t="str">
        <f>HYPERLINK("https://www.boe.es/gazeta/dias/1819/10/12/pdfs/GMD-1819-125.pdf#page=8","Abrir facsímil")</f>
        <v>Abrir facsímil</v>
      </c>
      <c r="K2805" s="3" t="s">
        <v>67</v>
      </c>
    </row>
    <row r="2806" spans="1:11" ht="42" customHeight="1">
      <c r="A2806" s="2" t="s">
        <v>6903</v>
      </c>
      <c r="B2806" s="2" t="s">
        <v>6904</v>
      </c>
      <c r="C2806" s="2" t="s">
        <v>63</v>
      </c>
      <c r="D2806" s="2" t="s">
        <v>43</v>
      </c>
      <c r="E2806" s="5">
        <v>-29234</v>
      </c>
      <c r="F2806" s="3" t="s">
        <v>343</v>
      </c>
      <c r="G2806" s="3" t="s">
        <v>28</v>
      </c>
      <c r="H2806" s="2" t="s">
        <v>65</v>
      </c>
      <c r="I2806" s="2" t="s">
        <v>6911</v>
      </c>
      <c r="J2806" s="3" t="str">
        <f>HYPERLINK("https://www.boe.es/gazeta/dias/1819/12/16/pdfs/GMD-1819-154.pdf#page=8","Abrir facsímil")</f>
        <v>Abrir facsímil</v>
      </c>
      <c r="K2806" s="3" t="s">
        <v>67</v>
      </c>
    </row>
    <row r="2807" spans="1:11" ht="42" customHeight="1">
      <c r="A2807" s="2" t="s">
        <v>6912</v>
      </c>
      <c r="B2807" s="2" t="s">
        <v>6913</v>
      </c>
      <c r="C2807" s="2" t="s">
        <v>136</v>
      </c>
      <c r="D2807" s="2" t="s">
        <v>18</v>
      </c>
      <c r="E2807" s="5">
        <v>-29502</v>
      </c>
      <c r="F2807" s="3" t="s">
        <v>86</v>
      </c>
      <c r="G2807" s="3" t="s">
        <v>28</v>
      </c>
      <c r="H2807" s="2" t="s">
        <v>65</v>
      </c>
      <c r="I2807" s="2" t="s">
        <v>6914</v>
      </c>
      <c r="J2807" s="3" t="str">
        <f>HYPERLINK("https://www.boe.es/gazeta/dias/1819/03/23/pdfs/GMD-1819-35.pdf#page=8","Abrir facsímil")</f>
        <v>Abrir facsímil</v>
      </c>
      <c r="K2807" s="3" t="s">
        <v>67</v>
      </c>
    </row>
    <row r="2808" spans="1:11" ht="42" customHeight="1">
      <c r="A2808" s="2" t="s">
        <v>6915</v>
      </c>
      <c r="B2808" s="2" t="s">
        <v>6916</v>
      </c>
      <c r="C2808" s="2" t="s">
        <v>63</v>
      </c>
      <c r="D2808" s="2" t="s">
        <v>43</v>
      </c>
      <c r="E2808" s="5">
        <v>-29484</v>
      </c>
      <c r="F2808" s="3" t="s">
        <v>295</v>
      </c>
      <c r="G2808" s="3" t="s">
        <v>296</v>
      </c>
      <c r="H2808" s="2" t="s">
        <v>65</v>
      </c>
      <c r="I2808" s="2" t="s">
        <v>6917</v>
      </c>
      <c r="J2808" s="3" t="str">
        <f>HYPERLINK("https://www.boe.es/gazeta/dias/1819/04/10/pdfs/GMD-1819-43.pdf#page=4","Abrir facsímil")</f>
        <v>Abrir facsímil</v>
      </c>
      <c r="K2808" s="3" t="s">
        <v>67</v>
      </c>
    </row>
    <row r="2809" spans="1:11" ht="42" customHeight="1">
      <c r="A2809" s="2" t="s">
        <v>6915</v>
      </c>
      <c r="B2809" s="2" t="s">
        <v>6916</v>
      </c>
      <c r="C2809" s="2" t="s">
        <v>63</v>
      </c>
      <c r="D2809" s="2" t="s">
        <v>43</v>
      </c>
      <c r="E2809" s="5">
        <v>-29400</v>
      </c>
      <c r="F2809" s="3" t="s">
        <v>2181</v>
      </c>
      <c r="G2809" s="3" t="s">
        <v>55</v>
      </c>
      <c r="H2809" s="2" t="s">
        <v>65</v>
      </c>
      <c r="I2809" s="2" t="s">
        <v>6918</v>
      </c>
      <c r="J2809" s="3" t="str">
        <f>HYPERLINK("https://www.boe.es/gazeta/dias/1819/07/03/pdfs/GMD-1819-80.pdf#page=7","Abrir facsímil")</f>
        <v>Abrir facsímil</v>
      </c>
      <c r="K2809" s="3" t="s">
        <v>67</v>
      </c>
    </row>
    <row r="2810" spans="1:11" ht="42" customHeight="1">
      <c r="A2810" s="2" t="s">
        <v>6915</v>
      </c>
      <c r="B2810" s="2" t="s">
        <v>6916</v>
      </c>
      <c r="C2810" s="2" t="s">
        <v>63</v>
      </c>
      <c r="D2810" s="2" t="s">
        <v>43</v>
      </c>
      <c r="E2810" s="5">
        <v>-29316</v>
      </c>
      <c r="F2810" s="3" t="s">
        <v>166</v>
      </c>
      <c r="G2810" s="3" t="s">
        <v>296</v>
      </c>
      <c r="H2810" s="2" t="s">
        <v>65</v>
      </c>
      <c r="I2810" s="2" t="s">
        <v>6919</v>
      </c>
      <c r="J2810" s="3" t="str">
        <f>HYPERLINK("https://www.boe.es/gazeta/dias/1819/09/25/pdfs/GMD-1819-118.pdf#page=4","Abrir facsímil")</f>
        <v>Abrir facsímil</v>
      </c>
      <c r="K2810" s="3" t="s">
        <v>67</v>
      </c>
    </row>
    <row r="2811" spans="1:11" ht="42" customHeight="1">
      <c r="A2811" s="2" t="s">
        <v>6920</v>
      </c>
      <c r="B2811" s="2" t="s">
        <v>6921</v>
      </c>
      <c r="C2811" s="2" t="s">
        <v>80</v>
      </c>
      <c r="D2811" s="2" t="s">
        <v>81</v>
      </c>
      <c r="E2811" s="5">
        <v>-29502</v>
      </c>
      <c r="F2811" s="3" t="s">
        <v>86</v>
      </c>
      <c r="G2811" s="3" t="s">
        <v>28</v>
      </c>
      <c r="H2811" s="2" t="s">
        <v>65</v>
      </c>
      <c r="I2811" s="2" t="s">
        <v>6922</v>
      </c>
      <c r="J2811" s="3" t="str">
        <f>HYPERLINK("https://www.boe.es/gazeta/dias/1819/03/23/pdfs/GMD-1819-35.pdf#page=8","Abrir facsímil")</f>
        <v>Abrir facsímil</v>
      </c>
      <c r="K2811" s="3" t="s">
        <v>67</v>
      </c>
    </row>
    <row r="2812" spans="1:11" ht="42" customHeight="1">
      <c r="A2812" s="2" t="s">
        <v>6923</v>
      </c>
      <c r="B2812" s="2" t="s">
        <v>6923</v>
      </c>
      <c r="C2812" s="2" t="s">
        <v>246</v>
      </c>
      <c r="D2812" s="2" t="s">
        <v>18</v>
      </c>
      <c r="E2812" s="5">
        <v>-29470</v>
      </c>
      <c r="F2812" s="3" t="s">
        <v>1188</v>
      </c>
      <c r="G2812" s="3" t="s">
        <v>102</v>
      </c>
      <c r="H2812" s="2" t="s">
        <v>65</v>
      </c>
      <c r="I2812" s="2" t="s">
        <v>6924</v>
      </c>
      <c r="J2812" s="3" t="str">
        <f>HYPERLINK("https://www.boe.es/gazeta/dias/1819/04/24/pdfs/GMD-1819-49.pdf#page=3","Abrir facsímil")</f>
        <v>Abrir facsímil</v>
      </c>
      <c r="K2812" s="3" t="s">
        <v>67</v>
      </c>
    </row>
    <row r="2813" spans="1:11" ht="42" customHeight="1">
      <c r="A2813" s="2" t="s">
        <v>6925</v>
      </c>
      <c r="B2813" s="2" t="s">
        <v>6926</v>
      </c>
      <c r="C2813" s="2" t="s">
        <v>80</v>
      </c>
      <c r="D2813" s="2" t="s">
        <v>81</v>
      </c>
      <c r="E2813" s="5">
        <v>-29451</v>
      </c>
      <c r="F2813" s="3" t="s">
        <v>208</v>
      </c>
      <c r="G2813" s="3" t="s">
        <v>55</v>
      </c>
      <c r="H2813" s="2" t="s">
        <v>65</v>
      </c>
      <c r="I2813" s="2" t="s">
        <v>6927</v>
      </c>
      <c r="J2813" s="3" t="str">
        <f>HYPERLINK("https://www.boe.es/gazeta/dias/1819/05/13/pdfs/GMD-1819-57.pdf#page=7","Abrir facsímil")</f>
        <v>Abrir facsímil</v>
      </c>
      <c r="K2813" s="3" t="s">
        <v>67</v>
      </c>
    </row>
    <row r="2814" spans="1:11" ht="42" customHeight="1">
      <c r="A2814" s="2" t="s">
        <v>6928</v>
      </c>
      <c r="B2814" s="2" t="s">
        <v>6929</v>
      </c>
      <c r="C2814" s="2" t="s">
        <v>80</v>
      </c>
      <c r="D2814" s="2" t="s">
        <v>454</v>
      </c>
      <c r="E2814" s="5">
        <v>-29287</v>
      </c>
      <c r="F2814" s="3" t="s">
        <v>455</v>
      </c>
      <c r="G2814" s="3" t="s">
        <v>481</v>
      </c>
      <c r="H2814" s="2" t="s">
        <v>65</v>
      </c>
      <c r="I2814" s="2" t="s">
        <v>6930</v>
      </c>
      <c r="J2814" s="3" t="str">
        <f>HYPERLINK("https://www.boe.es/gazeta/dias/1819/10/24/pdfs/GMD-1819-131E.pdf#page=8","Abrir facsímil")</f>
        <v>Abrir facsímil</v>
      </c>
      <c r="K2814" s="3" t="s">
        <v>67</v>
      </c>
    </row>
    <row r="2815" spans="1:11" ht="42" customHeight="1">
      <c r="A2815" s="2" t="s">
        <v>6931</v>
      </c>
      <c r="B2815" s="2" t="s">
        <v>6932</v>
      </c>
      <c r="C2815" s="2" t="s">
        <v>63</v>
      </c>
      <c r="D2815" s="2" t="s">
        <v>43</v>
      </c>
      <c r="E2815" s="5">
        <v>-29565</v>
      </c>
      <c r="F2815" s="3" t="s">
        <v>293</v>
      </c>
      <c r="G2815" s="3" t="s">
        <v>1608</v>
      </c>
      <c r="H2815" s="2" t="s">
        <v>65</v>
      </c>
      <c r="I2815" s="2" t="s">
        <v>6933</v>
      </c>
      <c r="J2815" s="3" t="str">
        <f>HYPERLINK("https://www.boe.es/gazeta/dias/1819/01/19/pdfs/GMD-1819-8.pdf#page=8","Abrir facsímil")</f>
        <v>Abrir facsímil</v>
      </c>
      <c r="K2815" s="3" t="s">
        <v>67</v>
      </c>
    </row>
    <row r="2816" spans="1:11" ht="42" customHeight="1">
      <c r="A2816" s="2" t="s">
        <v>6931</v>
      </c>
      <c r="B2816" s="2" t="s">
        <v>6932</v>
      </c>
      <c r="C2816" s="2" t="s">
        <v>63</v>
      </c>
      <c r="D2816" s="2" t="s">
        <v>43</v>
      </c>
      <c r="E2816" s="5">
        <v>-29535</v>
      </c>
      <c r="F2816" s="3" t="s">
        <v>200</v>
      </c>
      <c r="G2816" s="3" t="s">
        <v>28</v>
      </c>
      <c r="H2816" s="2" t="s">
        <v>65</v>
      </c>
      <c r="I2816" s="2" t="s">
        <v>6934</v>
      </c>
      <c r="J2816" s="3" t="str">
        <f>HYPERLINK("https://www.boe.es/gazeta/dias/1819/02/18/pdfs/GMD-1819-21.pdf#page=8","Abrir facsímil")</f>
        <v>Abrir facsímil</v>
      </c>
      <c r="K2816" s="3" t="s">
        <v>67</v>
      </c>
    </row>
    <row r="2817" spans="1:11" ht="42" customHeight="1">
      <c r="A2817" s="2" t="s">
        <v>6931</v>
      </c>
      <c r="B2817" s="2" t="s">
        <v>6932</v>
      </c>
      <c r="C2817" s="2" t="s">
        <v>63</v>
      </c>
      <c r="D2817" s="2" t="s">
        <v>43</v>
      </c>
      <c r="E2817" s="5">
        <v>-29530</v>
      </c>
      <c r="F2817" s="3" t="s">
        <v>202</v>
      </c>
      <c r="G2817" s="3" t="s">
        <v>138</v>
      </c>
      <c r="H2817" s="2" t="s">
        <v>65</v>
      </c>
      <c r="I2817" s="2" t="s">
        <v>6935</v>
      </c>
      <c r="J2817" s="3" t="str">
        <f>HYPERLINK("https://www.boe.es/gazeta/dias/1819/02/23/pdfs/GMD-1819-23.pdf#page=12","Abrir facsímil")</f>
        <v>Abrir facsímil</v>
      </c>
      <c r="K2817" s="3" t="s">
        <v>67</v>
      </c>
    </row>
    <row r="2818" spans="1:11" ht="42" customHeight="1">
      <c r="A2818" s="2" t="s">
        <v>6931</v>
      </c>
      <c r="B2818" s="2" t="s">
        <v>6932</v>
      </c>
      <c r="C2818" s="2" t="s">
        <v>63</v>
      </c>
      <c r="D2818" s="2" t="s">
        <v>43</v>
      </c>
      <c r="E2818" s="5">
        <v>-29397</v>
      </c>
      <c r="F2818" s="3" t="s">
        <v>599</v>
      </c>
      <c r="G2818" s="3" t="s">
        <v>28</v>
      </c>
      <c r="H2818" s="2" t="s">
        <v>65</v>
      </c>
      <c r="I2818" s="2" t="s">
        <v>6936</v>
      </c>
      <c r="J2818" s="3" t="str">
        <f>HYPERLINK("https://www.boe.es/gazeta/dias/1819/07/06/pdfs/GMD-1819-81.pdf#page=8","Abrir facsímil")</f>
        <v>Abrir facsímil</v>
      </c>
      <c r="K2818" s="3" t="s">
        <v>67</v>
      </c>
    </row>
    <row r="2819" spans="1:11" ht="42" customHeight="1">
      <c r="A2819" s="2" t="s">
        <v>6931</v>
      </c>
      <c r="B2819" s="2" t="s">
        <v>6932</v>
      </c>
      <c r="C2819" s="2" t="s">
        <v>63</v>
      </c>
      <c r="D2819" s="2" t="s">
        <v>43</v>
      </c>
      <c r="E2819" s="5">
        <v>-29393</v>
      </c>
      <c r="F2819" s="3" t="s">
        <v>536</v>
      </c>
      <c r="G2819" s="3" t="s">
        <v>28</v>
      </c>
      <c r="H2819" s="2" t="s">
        <v>65</v>
      </c>
      <c r="I2819" s="2" t="s">
        <v>6937</v>
      </c>
      <c r="J2819" s="3" t="str">
        <f>HYPERLINK("https://www.boe.es/gazeta/dias/1819/07/10/pdfs/GMD-1819-83.pdf#page=8","Abrir facsímil")</f>
        <v>Abrir facsímil</v>
      </c>
      <c r="K2819" s="3" t="s">
        <v>67</v>
      </c>
    </row>
    <row r="2820" spans="1:11" ht="42" customHeight="1">
      <c r="A2820" s="2" t="s">
        <v>6931</v>
      </c>
      <c r="B2820" s="2" t="s">
        <v>6932</v>
      </c>
      <c r="C2820" s="2" t="s">
        <v>63</v>
      </c>
      <c r="D2820" s="2" t="s">
        <v>43</v>
      </c>
      <c r="E2820" s="5">
        <v>-29390</v>
      </c>
      <c r="F2820" s="3" t="s">
        <v>263</v>
      </c>
      <c r="G2820" s="3" t="s">
        <v>94</v>
      </c>
      <c r="H2820" s="2" t="s">
        <v>65</v>
      </c>
      <c r="I2820" s="2" t="s">
        <v>6938</v>
      </c>
      <c r="J2820" s="3" t="str">
        <f>HYPERLINK("https://www.boe.es/gazeta/dias/1819/07/13/pdfs/GMD-1819-84.pdf#page=11","Abrir facsímil")</f>
        <v>Abrir facsímil</v>
      </c>
      <c r="K2820" s="3" t="s">
        <v>67</v>
      </c>
    </row>
    <row r="2821" spans="1:11" ht="42" customHeight="1">
      <c r="A2821" s="2" t="s">
        <v>6931</v>
      </c>
      <c r="B2821" s="2" t="s">
        <v>6932</v>
      </c>
      <c r="C2821" s="2" t="s">
        <v>63</v>
      </c>
      <c r="D2821" s="2" t="s">
        <v>43</v>
      </c>
      <c r="E2821" s="5">
        <v>-29365</v>
      </c>
      <c r="F2821" s="3" t="s">
        <v>218</v>
      </c>
      <c r="G2821" s="3" t="s">
        <v>28</v>
      </c>
      <c r="H2821" s="2" t="s">
        <v>65</v>
      </c>
      <c r="I2821" s="2" t="s">
        <v>6939</v>
      </c>
      <c r="J2821" s="3" t="str">
        <f>HYPERLINK("https://www.boe.es/gazeta/dias/1819/08/07/pdfs/GMD-1819-95.pdf#page=8","Abrir facsímil")</f>
        <v>Abrir facsímil</v>
      </c>
      <c r="K2821" s="3" t="s">
        <v>67</v>
      </c>
    </row>
    <row r="2822" spans="1:11" ht="42" customHeight="1">
      <c r="A2822" s="2" t="s">
        <v>6931</v>
      </c>
      <c r="B2822" s="2" t="s">
        <v>6932</v>
      </c>
      <c r="C2822" s="2" t="s">
        <v>63</v>
      </c>
      <c r="D2822" s="2" t="s">
        <v>43</v>
      </c>
      <c r="E2822" s="5">
        <v>-29360</v>
      </c>
      <c r="F2822" s="3" t="s">
        <v>182</v>
      </c>
      <c r="G2822" s="3" t="s">
        <v>28</v>
      </c>
      <c r="H2822" s="2" t="s">
        <v>65</v>
      </c>
      <c r="I2822" s="2" t="s">
        <v>6940</v>
      </c>
      <c r="J2822" s="3" t="str">
        <f>HYPERLINK("https://www.boe.es/gazeta/dias/1819/08/12/pdfs/GMD-1819-97.pdf#page=8","Abrir facsímil")</f>
        <v>Abrir facsímil</v>
      </c>
      <c r="K2822" s="3" t="s">
        <v>67</v>
      </c>
    </row>
    <row r="2823" spans="1:11" ht="42" customHeight="1">
      <c r="A2823" s="2" t="s">
        <v>6931</v>
      </c>
      <c r="B2823" s="2" t="s">
        <v>6932</v>
      </c>
      <c r="C2823" s="2" t="s">
        <v>63</v>
      </c>
      <c r="D2823" s="2" t="s">
        <v>43</v>
      </c>
      <c r="E2823" s="5">
        <v>-29332</v>
      </c>
      <c r="F2823" s="3" t="s">
        <v>499</v>
      </c>
      <c r="G2823" s="3" t="s">
        <v>28</v>
      </c>
      <c r="H2823" s="2" t="s">
        <v>65</v>
      </c>
      <c r="I2823" s="2" t="s">
        <v>6941</v>
      </c>
      <c r="J2823" s="3" t="str">
        <f>HYPERLINK("https://www.boe.es/gazeta/dias/1819/09/09/pdfs/GMD-1819-110.pdf#page=8","Abrir facsímil")</f>
        <v>Abrir facsímil</v>
      </c>
      <c r="K2823" s="3" t="s">
        <v>67</v>
      </c>
    </row>
    <row r="2824" spans="1:11" ht="42" customHeight="1">
      <c r="A2824" s="2" t="s">
        <v>6931</v>
      </c>
      <c r="B2824" s="2" t="s">
        <v>6932</v>
      </c>
      <c r="C2824" s="2" t="s">
        <v>63</v>
      </c>
      <c r="D2824" s="2" t="s">
        <v>43</v>
      </c>
      <c r="E2824" s="5">
        <v>-29220</v>
      </c>
      <c r="F2824" s="3" t="s">
        <v>397</v>
      </c>
      <c r="G2824" s="3" t="s">
        <v>55</v>
      </c>
      <c r="H2824" s="2" t="s">
        <v>65</v>
      </c>
      <c r="I2824" s="2" t="s">
        <v>6942</v>
      </c>
      <c r="J2824" s="3" t="str">
        <f>HYPERLINK("https://www.boe.es/gazeta/dias/1819/12/30/pdfs/GMD-1819-160.pdf#page=7","Abrir facsímil")</f>
        <v>Abrir facsímil</v>
      </c>
      <c r="K2824" s="3" t="s">
        <v>67</v>
      </c>
    </row>
    <row r="2825" spans="1:11" ht="42" customHeight="1">
      <c r="A2825" s="2" t="s">
        <v>6943</v>
      </c>
      <c r="B2825" s="2" t="s">
        <v>6944</v>
      </c>
      <c r="C2825" s="2" t="s">
        <v>136</v>
      </c>
      <c r="D2825" s="2" t="s">
        <v>18</v>
      </c>
      <c r="E2825" s="5">
        <v>-29542</v>
      </c>
      <c r="F2825" s="3" t="s">
        <v>607</v>
      </c>
      <c r="G2825" s="3" t="s">
        <v>94</v>
      </c>
      <c r="H2825" s="2" t="s">
        <v>65</v>
      </c>
      <c r="I2825" s="2" t="s">
        <v>6945</v>
      </c>
      <c r="J2825" s="3" t="str">
        <f>HYPERLINK("https://www.boe.es/gazeta/dias/1819/02/11/pdfs/GMD-1819-18.pdf#page=11","Abrir facsímil")</f>
        <v>Abrir facsímil</v>
      </c>
      <c r="K2825" s="3" t="s">
        <v>67</v>
      </c>
    </row>
    <row r="2826" spans="1:11" ht="42" customHeight="1">
      <c r="A2826" s="2" t="s">
        <v>6946</v>
      </c>
      <c r="B2826" s="2" t="s">
        <v>6947</v>
      </c>
      <c r="C2826" s="2" t="s">
        <v>80</v>
      </c>
      <c r="D2826" s="2" t="s">
        <v>81</v>
      </c>
      <c r="E2826" s="5">
        <v>-29297</v>
      </c>
      <c r="F2826" s="3" t="s">
        <v>82</v>
      </c>
      <c r="G2826" s="3" t="s">
        <v>28</v>
      </c>
      <c r="H2826" s="2" t="s">
        <v>65</v>
      </c>
      <c r="I2826" s="2" t="s">
        <v>6948</v>
      </c>
      <c r="J2826" s="3" t="str">
        <f>HYPERLINK("https://www.boe.es/gazeta/dias/1819/10/14/pdfs/GMD-1819-126.pdf#page=8","Abrir facsímil")</f>
        <v>Abrir facsímil</v>
      </c>
      <c r="K2826" s="3" t="s">
        <v>67</v>
      </c>
    </row>
    <row r="2827" spans="1:11" ht="42" customHeight="1">
      <c r="A2827" s="2" t="s">
        <v>6949</v>
      </c>
      <c r="B2827" s="2" t="s">
        <v>6950</v>
      </c>
      <c r="C2827" s="2" t="s">
        <v>80</v>
      </c>
      <c r="D2827" s="2" t="s">
        <v>81</v>
      </c>
      <c r="E2827" s="5">
        <v>-29255</v>
      </c>
      <c r="F2827" s="3" t="s">
        <v>357</v>
      </c>
      <c r="G2827" s="3" t="s">
        <v>38</v>
      </c>
      <c r="H2827" s="2" t="s">
        <v>65</v>
      </c>
      <c r="I2827" s="2" t="s">
        <v>6951</v>
      </c>
      <c r="J2827" s="3" t="str">
        <f>HYPERLINK("https://www.boe.es/gazeta/dias/1819/11/25/pdfs/GMD-1819-145.pdf#page=5","Abrir facsímil")</f>
        <v>Abrir facsímil</v>
      </c>
      <c r="K2827" s="3" t="s">
        <v>67</v>
      </c>
    </row>
    <row r="2828" spans="1:11" ht="42" customHeight="1">
      <c r="A2828" s="2" t="s">
        <v>6952</v>
      </c>
      <c r="B2828" s="2" t="s">
        <v>6953</v>
      </c>
      <c r="C2828" s="2" t="s">
        <v>80</v>
      </c>
      <c r="D2828" s="2" t="s">
        <v>81</v>
      </c>
      <c r="E2828" s="5">
        <v>-29575</v>
      </c>
      <c r="F2828" s="3" t="s">
        <v>77</v>
      </c>
      <c r="G2828" s="3" t="s">
        <v>55</v>
      </c>
      <c r="H2828" s="2" t="s">
        <v>65</v>
      </c>
      <c r="I2828" s="2" t="s">
        <v>6954</v>
      </c>
      <c r="J2828" s="3" t="str">
        <f>HYPERLINK("https://www.boe.es/gazeta/dias/1819/01/09/pdfs/GMD-1819-4.pdf#page=7","Abrir facsímil")</f>
        <v>Abrir facsímil</v>
      </c>
      <c r="K2828" s="3" t="s">
        <v>67</v>
      </c>
    </row>
    <row r="2829" spans="1:11" ht="42" customHeight="1">
      <c r="A2829" s="2" t="s">
        <v>6955</v>
      </c>
      <c r="B2829" s="2" t="s">
        <v>6956</v>
      </c>
      <c r="C2829" s="2" t="s">
        <v>59</v>
      </c>
      <c r="D2829" s="2" t="s">
        <v>18</v>
      </c>
      <c r="E2829" s="5">
        <v>-29365</v>
      </c>
      <c r="F2829" s="3" t="s">
        <v>218</v>
      </c>
      <c r="G2829" s="3" t="s">
        <v>490</v>
      </c>
      <c r="H2829" s="2" t="s">
        <v>65</v>
      </c>
      <c r="I2829" s="2" t="s">
        <v>6957</v>
      </c>
      <c r="J2829" s="3" t="str">
        <f>HYPERLINK("https://www.boe.es/gazeta/dias/1819/08/07/pdfs/GMD-1819-95.pdf#page=6","Abrir facsímil")</f>
        <v>Abrir facsímil</v>
      </c>
      <c r="K2829" s="3" t="s">
        <v>67</v>
      </c>
    </row>
    <row r="2830" spans="1:11" ht="42" customHeight="1">
      <c r="A2830" s="2" t="s">
        <v>6958</v>
      </c>
      <c r="B2830" s="2" t="s">
        <v>6959</v>
      </c>
      <c r="C2830" s="2" t="s">
        <v>59</v>
      </c>
      <c r="D2830" s="2" t="s">
        <v>18</v>
      </c>
      <c r="E2830" s="5">
        <v>-29379</v>
      </c>
      <c r="F2830" s="3" t="s">
        <v>161</v>
      </c>
      <c r="G2830" s="3" t="s">
        <v>162</v>
      </c>
      <c r="H2830" s="2" t="s">
        <v>65</v>
      </c>
      <c r="I2830" s="2" t="s">
        <v>6960</v>
      </c>
      <c r="J2830" s="3" t="str">
        <f>HYPERLINK("https://www.boe.es/gazeta/dias/1819/07/24/pdfs/GMD-1819-89.pdf#page=5","Abrir facsímil")</f>
        <v>Abrir facsímil</v>
      </c>
      <c r="K2830" s="3" t="s">
        <v>67</v>
      </c>
    </row>
    <row r="2831" spans="1:11" ht="42" customHeight="1">
      <c r="A2831" s="2" t="s">
        <v>6961</v>
      </c>
      <c r="B2831" s="2" t="s">
        <v>6962</v>
      </c>
      <c r="C2831" s="2" t="s">
        <v>80</v>
      </c>
      <c r="D2831" s="2" t="s">
        <v>81</v>
      </c>
      <c r="E2831" s="5">
        <v>-29575</v>
      </c>
      <c r="F2831" s="3" t="s">
        <v>77</v>
      </c>
      <c r="G2831" s="3" t="s">
        <v>55</v>
      </c>
      <c r="H2831" s="2" t="s">
        <v>21</v>
      </c>
      <c r="I2831" s="2" t="s">
        <v>6963</v>
      </c>
      <c r="J2831" s="3" t="str">
        <f>HYPERLINK("https://www.boe.es/gazeta/dias/1819/01/09/pdfs/GMD-1819-4.pdf#page=7","Abrir facsímil")</f>
        <v>Abrir facsímil</v>
      </c>
      <c r="K2831" s="3" t="s">
        <v>23</v>
      </c>
    </row>
    <row r="2832" spans="1:11" ht="42" customHeight="1">
      <c r="A2832" s="2" t="s">
        <v>6964</v>
      </c>
      <c r="B2832" s="2" t="s">
        <v>6965</v>
      </c>
      <c r="C2832" s="2" t="s">
        <v>80</v>
      </c>
      <c r="D2832" s="2" t="s">
        <v>81</v>
      </c>
      <c r="E2832" s="5">
        <v>-29297</v>
      </c>
      <c r="F2832" s="3" t="s">
        <v>82</v>
      </c>
      <c r="G2832" s="3" t="s">
        <v>55</v>
      </c>
      <c r="H2832" s="2" t="s">
        <v>65</v>
      </c>
      <c r="I2832" s="2" t="s">
        <v>6966</v>
      </c>
      <c r="J2832" s="3" t="str">
        <f>HYPERLINK("https://www.boe.es/gazeta/dias/1819/10/14/pdfs/GMD-1819-126.pdf#page=7","Abrir facsímil")</f>
        <v>Abrir facsímil</v>
      </c>
      <c r="K2832" s="3" t="s">
        <v>67</v>
      </c>
    </row>
    <row r="2833" spans="1:11" ht="42" customHeight="1">
      <c r="A2833" s="2" t="s">
        <v>6967</v>
      </c>
      <c r="B2833" s="2" t="s">
        <v>6968</v>
      </c>
      <c r="C2833" s="2" t="s">
        <v>80</v>
      </c>
      <c r="D2833" s="2" t="s">
        <v>454</v>
      </c>
      <c r="E2833" s="5">
        <v>-29287</v>
      </c>
      <c r="F2833" s="3" t="s">
        <v>455</v>
      </c>
      <c r="G2833" s="3" t="s">
        <v>456</v>
      </c>
      <c r="H2833" s="2" t="s">
        <v>65</v>
      </c>
      <c r="I2833" s="2" t="s">
        <v>6969</v>
      </c>
      <c r="J2833" s="3" t="str">
        <f>HYPERLINK("https://www.boe.es/gazeta/dias/1819/10/24/pdfs/GMD-1819-131E.pdf#page=9","Abrir facsímil")</f>
        <v>Abrir facsímil</v>
      </c>
      <c r="K2833" s="3" t="s">
        <v>67</v>
      </c>
    </row>
    <row r="2834" spans="1:11" ht="42" customHeight="1">
      <c r="A2834" s="2" t="s">
        <v>6970</v>
      </c>
      <c r="B2834" s="2" t="s">
        <v>6971</v>
      </c>
      <c r="C2834" s="2" t="s">
        <v>26</v>
      </c>
      <c r="D2834" s="2" t="s">
        <v>18</v>
      </c>
      <c r="E2834" s="5">
        <v>-29325</v>
      </c>
      <c r="F2834" s="3" t="s">
        <v>174</v>
      </c>
      <c r="G2834" s="3" t="s">
        <v>2480</v>
      </c>
      <c r="H2834" s="2" t="s">
        <v>65</v>
      </c>
      <c r="I2834" s="2" t="s">
        <v>6972</v>
      </c>
      <c r="J2834" s="3" t="str">
        <f>HYPERLINK("https://www.boe.es/gazeta/dias/1819/09/16/pdfs/GMD-1819-113.pdf#page=5","Abrir facsímil")</f>
        <v>Abrir facsímil</v>
      </c>
      <c r="K2834" s="3" t="s">
        <v>67</v>
      </c>
    </row>
    <row r="2835" spans="1:11" ht="42" customHeight="1">
      <c r="A2835" s="2" t="s">
        <v>6973</v>
      </c>
      <c r="B2835" s="2" t="s">
        <v>6974</v>
      </c>
      <c r="C2835" s="2" t="s">
        <v>63</v>
      </c>
      <c r="D2835" s="2" t="s">
        <v>43</v>
      </c>
      <c r="E2835" s="5">
        <v>-29505</v>
      </c>
      <c r="F2835" s="3" t="s">
        <v>597</v>
      </c>
      <c r="G2835" s="3" t="s">
        <v>55</v>
      </c>
      <c r="H2835" s="2" t="s">
        <v>65</v>
      </c>
      <c r="I2835" s="2" t="s">
        <v>6975</v>
      </c>
      <c r="J2835" s="3" t="str">
        <f>HYPERLINK("https://www.boe.es/gazeta/dias/1819/03/20/pdfs/GMD-1819-34.pdf#page=7","Abrir facsímil")</f>
        <v>Abrir facsímil</v>
      </c>
      <c r="K2835" s="3" t="s">
        <v>67</v>
      </c>
    </row>
    <row r="2836" spans="1:11" ht="42" customHeight="1">
      <c r="A2836" s="2" t="s">
        <v>6976</v>
      </c>
      <c r="B2836" s="2" t="s">
        <v>6977</v>
      </c>
      <c r="C2836" s="2" t="s">
        <v>80</v>
      </c>
      <c r="D2836" s="2" t="s">
        <v>81</v>
      </c>
      <c r="E2836" s="5">
        <v>-29505</v>
      </c>
      <c r="F2836" s="3" t="s">
        <v>597</v>
      </c>
      <c r="G2836" s="3" t="s">
        <v>55</v>
      </c>
      <c r="H2836" s="2" t="s">
        <v>65</v>
      </c>
      <c r="I2836" s="2" t="s">
        <v>6978</v>
      </c>
      <c r="J2836" s="3" t="str">
        <f>HYPERLINK("https://www.boe.es/gazeta/dias/1819/03/20/pdfs/GMD-1819-34.pdf#page=7","Abrir facsímil")</f>
        <v>Abrir facsímil</v>
      </c>
      <c r="K2836" s="3" t="s">
        <v>67</v>
      </c>
    </row>
    <row r="2837" spans="1:11" ht="42" customHeight="1">
      <c r="A2837" s="2" t="s">
        <v>6979</v>
      </c>
      <c r="B2837" s="2" t="s">
        <v>6979</v>
      </c>
      <c r="C2837" s="2" t="s">
        <v>80</v>
      </c>
      <c r="D2837" s="2" t="s">
        <v>81</v>
      </c>
      <c r="E2837" s="5">
        <v>-29257</v>
      </c>
      <c r="F2837" s="3" t="s">
        <v>73</v>
      </c>
      <c r="G2837" s="3" t="s">
        <v>259</v>
      </c>
      <c r="H2837" s="2" t="s">
        <v>65</v>
      </c>
      <c r="I2837" s="2" t="s">
        <v>6980</v>
      </c>
      <c r="J2837" s="3" t="str">
        <f>HYPERLINK("https://www.boe.es/gazeta/dias/1819/11/23/pdfs/GMD-1819-144.pdf#page=2","Abrir facsímil")</f>
        <v>Abrir facsímil</v>
      </c>
      <c r="K2837" s="3" t="s">
        <v>67</v>
      </c>
    </row>
    <row r="2838" spans="1:11" ht="42" customHeight="1">
      <c r="A2838" s="2" t="s">
        <v>6981</v>
      </c>
      <c r="B2838" s="2" t="s">
        <v>6982</v>
      </c>
      <c r="C2838" s="2" t="s">
        <v>63</v>
      </c>
      <c r="D2838" s="2" t="s">
        <v>43</v>
      </c>
      <c r="E2838" s="5">
        <v>-29516</v>
      </c>
      <c r="F2838" s="3" t="s">
        <v>137</v>
      </c>
      <c r="G2838" s="3" t="s">
        <v>20</v>
      </c>
      <c r="H2838" s="2" t="s">
        <v>21</v>
      </c>
      <c r="I2838" s="2" t="s">
        <v>6983</v>
      </c>
      <c r="J2838" s="3" t="str">
        <f>HYPERLINK("https://www.boe.es/gazeta/dias/1819/03/09/pdfs/GMD-1819-29.pdf#page=10","Abrir facsímil")</f>
        <v>Abrir facsímil</v>
      </c>
      <c r="K2838" s="3" t="s">
        <v>23</v>
      </c>
    </row>
    <row r="2839" spans="1:11" ht="42" customHeight="1">
      <c r="A2839" s="2" t="s">
        <v>6984</v>
      </c>
      <c r="B2839" s="2" t="s">
        <v>6985</v>
      </c>
      <c r="C2839" s="2" t="s">
        <v>59</v>
      </c>
      <c r="D2839" s="2" t="s">
        <v>18</v>
      </c>
      <c r="E2839" s="5">
        <v>-29558</v>
      </c>
      <c r="F2839" s="3" t="s">
        <v>1463</v>
      </c>
      <c r="G2839" s="3" t="s">
        <v>28</v>
      </c>
      <c r="H2839" s="2" t="s">
        <v>65</v>
      </c>
      <c r="I2839" s="2" t="s">
        <v>6986</v>
      </c>
      <c r="J2839" s="3" t="str">
        <f>HYPERLINK("https://www.boe.es/gazeta/dias/1819/01/26/pdfs/GMD-1819-11.pdf#page=8","Abrir facsímil")</f>
        <v>Abrir facsímil</v>
      </c>
      <c r="K2839" s="3" t="s">
        <v>67</v>
      </c>
    </row>
    <row r="2840" spans="1:11" ht="42" customHeight="1">
      <c r="A2840" s="2" t="s">
        <v>6987</v>
      </c>
      <c r="B2840" s="2" t="s">
        <v>6988</v>
      </c>
      <c r="C2840" s="2" t="s">
        <v>80</v>
      </c>
      <c r="D2840" s="2" t="s">
        <v>81</v>
      </c>
      <c r="E2840" s="5">
        <v>-29558</v>
      </c>
      <c r="F2840" s="3" t="s">
        <v>1463</v>
      </c>
      <c r="G2840" s="3" t="s">
        <v>28</v>
      </c>
      <c r="H2840" s="2" t="s">
        <v>65</v>
      </c>
      <c r="I2840" s="2" t="s">
        <v>6989</v>
      </c>
      <c r="J2840" s="3" t="str">
        <f>HYPERLINK("https://www.boe.es/gazeta/dias/1819/01/26/pdfs/GMD-1819-11.pdf#page=8","Abrir facsímil")</f>
        <v>Abrir facsímil</v>
      </c>
      <c r="K2840" s="3" t="s">
        <v>67</v>
      </c>
    </row>
    <row r="2841" spans="1:11" ht="42" customHeight="1">
      <c r="A2841" s="2" t="s">
        <v>6990</v>
      </c>
      <c r="B2841" s="2" t="s">
        <v>6990</v>
      </c>
      <c r="C2841" s="2" t="s">
        <v>59</v>
      </c>
      <c r="D2841" s="2" t="s">
        <v>18</v>
      </c>
      <c r="E2841" s="5">
        <v>-29292</v>
      </c>
      <c r="F2841" s="3" t="s">
        <v>875</v>
      </c>
      <c r="G2841" s="3" t="s">
        <v>296</v>
      </c>
      <c r="H2841" s="2" t="s">
        <v>65</v>
      </c>
      <c r="I2841" s="2" t="s">
        <v>6991</v>
      </c>
      <c r="J2841" s="3" t="str">
        <f>HYPERLINK("https://www.boe.es/gazeta/dias/1819/10/19/pdfs/GMD-1819-128.pdf#page=4","Abrir facsímil")</f>
        <v>Abrir facsímil</v>
      </c>
      <c r="K2841" s="3" t="s">
        <v>67</v>
      </c>
    </row>
    <row r="2842" spans="1:11" ht="42" customHeight="1">
      <c r="A2842" s="2" t="s">
        <v>6992</v>
      </c>
      <c r="B2842" s="2" t="s">
        <v>6993</v>
      </c>
      <c r="C2842" s="2" t="s">
        <v>59</v>
      </c>
      <c r="D2842" s="2" t="s">
        <v>18</v>
      </c>
      <c r="E2842" s="5">
        <v>-29530</v>
      </c>
      <c r="F2842" s="3" t="s">
        <v>202</v>
      </c>
      <c r="G2842" s="3" t="s">
        <v>55</v>
      </c>
      <c r="H2842" s="2" t="s">
        <v>65</v>
      </c>
      <c r="I2842" s="2" t="s">
        <v>6994</v>
      </c>
      <c r="J2842" s="3" t="str">
        <f>HYPERLINK("https://www.boe.es/gazeta/dias/1819/02/23/pdfs/GMD-1819-23.pdf#page=7","Abrir facsímil")</f>
        <v>Abrir facsímil</v>
      </c>
      <c r="K2842" s="3" t="s">
        <v>67</v>
      </c>
    </row>
    <row r="2843" spans="1:11" ht="42" customHeight="1">
      <c r="A2843" s="2" t="s">
        <v>6995</v>
      </c>
      <c r="B2843" s="2" t="s">
        <v>6996</v>
      </c>
      <c r="C2843" s="2" t="s">
        <v>136</v>
      </c>
      <c r="D2843" s="2" t="s">
        <v>18</v>
      </c>
      <c r="E2843" s="5">
        <v>-29346</v>
      </c>
      <c r="F2843" s="3" t="s">
        <v>718</v>
      </c>
      <c r="G2843" s="3" t="s">
        <v>28</v>
      </c>
      <c r="H2843" s="2" t="s">
        <v>21</v>
      </c>
      <c r="I2843" s="2" t="s">
        <v>6997</v>
      </c>
      <c r="J2843" s="3" t="str">
        <f>HYPERLINK("https://www.boe.es/gazeta/dias/1819/08/26/pdfs/GMD-1819-103.pdf#page=8","Abrir facsímil")</f>
        <v>Abrir facsímil</v>
      </c>
      <c r="K2843" s="3" t="s">
        <v>23</v>
      </c>
    </row>
    <row r="2844" spans="1:11" ht="42" customHeight="1">
      <c r="A2844" s="2" t="s">
        <v>6998</v>
      </c>
      <c r="B2844" s="2" t="s">
        <v>6999</v>
      </c>
      <c r="C2844" s="2" t="s">
        <v>80</v>
      </c>
      <c r="D2844" s="2" t="s">
        <v>81</v>
      </c>
      <c r="E2844" s="5">
        <v>-29472</v>
      </c>
      <c r="F2844" s="3" t="s">
        <v>393</v>
      </c>
      <c r="G2844" s="3" t="s">
        <v>33</v>
      </c>
      <c r="H2844" s="2" t="s">
        <v>65</v>
      </c>
      <c r="I2844" s="2" t="s">
        <v>7000</v>
      </c>
      <c r="J2844" s="3" t="str">
        <f>HYPERLINK("https://www.boe.es/gazeta/dias/1819/04/22/pdfs/GMD-1819-48.pdf#page=6","Abrir facsímil")</f>
        <v>Abrir facsímil</v>
      </c>
      <c r="K2844" s="3" t="s">
        <v>67</v>
      </c>
    </row>
    <row r="2845" spans="1:11" ht="42" customHeight="1">
      <c r="A2845" s="2" t="s">
        <v>7001</v>
      </c>
      <c r="B2845" s="2" t="s">
        <v>7001</v>
      </c>
      <c r="C2845" s="2" t="s">
        <v>59</v>
      </c>
      <c r="D2845" s="2" t="s">
        <v>18</v>
      </c>
      <c r="E2845" s="5">
        <v>-29435</v>
      </c>
      <c r="F2845" s="3" t="s">
        <v>191</v>
      </c>
      <c r="G2845" s="3" t="s">
        <v>102</v>
      </c>
      <c r="H2845" s="2" t="s">
        <v>65</v>
      </c>
      <c r="I2845" s="2" t="s">
        <v>7002</v>
      </c>
      <c r="J2845" s="3" t="str">
        <f>HYPERLINK("https://www.boe.es/gazeta/dias/1819/05/29/pdfs/GMD-1819-64.pdf#page=3","Abrir facsímil")</f>
        <v>Abrir facsímil</v>
      </c>
      <c r="K2845" s="3" t="s">
        <v>67</v>
      </c>
    </row>
    <row r="2846" spans="1:11" ht="42" customHeight="1">
      <c r="A2846" s="2" t="s">
        <v>7003</v>
      </c>
      <c r="B2846" s="2" t="s">
        <v>7004</v>
      </c>
      <c r="C2846" s="2" t="s">
        <v>80</v>
      </c>
      <c r="D2846" s="2" t="s">
        <v>81</v>
      </c>
      <c r="E2846" s="5">
        <v>-29397</v>
      </c>
      <c r="F2846" s="3" t="s">
        <v>599</v>
      </c>
      <c r="G2846" s="3" t="s">
        <v>38</v>
      </c>
      <c r="H2846" s="2" t="s">
        <v>65</v>
      </c>
      <c r="I2846" s="2" t="s">
        <v>7005</v>
      </c>
      <c r="J2846" s="3" t="str">
        <f>HYPERLINK("https://www.boe.es/gazeta/dias/1819/07/06/pdfs/GMD-1819-81.pdf#page=5","Abrir facsímil")</f>
        <v>Abrir facsímil</v>
      </c>
      <c r="K2846" s="3" t="s">
        <v>67</v>
      </c>
    </row>
    <row r="2847" spans="1:11" ht="42" customHeight="1">
      <c r="A2847" s="2" t="s">
        <v>7006</v>
      </c>
      <c r="B2847" s="2" t="s">
        <v>7007</v>
      </c>
      <c r="C2847" s="2" t="s">
        <v>63</v>
      </c>
      <c r="D2847" s="2" t="s">
        <v>43</v>
      </c>
      <c r="E2847" s="5">
        <v>-29316</v>
      </c>
      <c r="F2847" s="3" t="s">
        <v>166</v>
      </c>
      <c r="G2847" s="3" t="s">
        <v>28</v>
      </c>
      <c r="H2847" s="2" t="s">
        <v>65</v>
      </c>
      <c r="I2847" s="2" t="s">
        <v>7008</v>
      </c>
      <c r="J2847" s="3" t="str">
        <f>HYPERLINK("https://www.boe.es/gazeta/dias/1819/09/25/pdfs/GMD-1819-118.pdf#page=8","Abrir facsímil")</f>
        <v>Abrir facsímil</v>
      </c>
      <c r="K2847" s="3" t="s">
        <v>67</v>
      </c>
    </row>
    <row r="2848" spans="1:11" ht="42" customHeight="1">
      <c r="A2848" s="2" t="s">
        <v>7009</v>
      </c>
      <c r="B2848" s="2" t="s">
        <v>7010</v>
      </c>
      <c r="C2848" s="2" t="s">
        <v>63</v>
      </c>
      <c r="D2848" s="2" t="s">
        <v>43</v>
      </c>
      <c r="E2848" s="5">
        <v>-29467</v>
      </c>
      <c r="F2848" s="3" t="s">
        <v>1712</v>
      </c>
      <c r="G2848" s="3" t="s">
        <v>28</v>
      </c>
      <c r="H2848" s="2" t="s">
        <v>65</v>
      </c>
      <c r="I2848" s="2" t="s">
        <v>7011</v>
      </c>
      <c r="J2848" s="3" t="str">
        <f>HYPERLINK("https://www.boe.es/gazeta/dias/1819/04/27/pdfs/GMD-1819-50.pdf#page=8","Abrir facsímil")</f>
        <v>Abrir facsímil</v>
      </c>
      <c r="K2848" s="3" t="s">
        <v>67</v>
      </c>
    </row>
    <row r="2849" spans="1:11" ht="42" customHeight="1">
      <c r="A2849" s="2" t="s">
        <v>7012</v>
      </c>
      <c r="B2849" s="2" t="s">
        <v>7013</v>
      </c>
      <c r="C2849" s="2" t="s">
        <v>63</v>
      </c>
      <c r="D2849" s="2" t="s">
        <v>43</v>
      </c>
      <c r="E2849" s="5">
        <v>-29379</v>
      </c>
      <c r="F2849" s="3" t="s">
        <v>161</v>
      </c>
      <c r="G2849" s="3" t="s">
        <v>28</v>
      </c>
      <c r="H2849" s="2" t="s">
        <v>21</v>
      </c>
      <c r="I2849" s="2" t="s">
        <v>7014</v>
      </c>
      <c r="J2849" s="3" t="str">
        <f>HYPERLINK("https://www.boe.es/gazeta/dias/1819/07/24/pdfs/GMD-1819-89.pdf#page=8","Abrir facsímil")</f>
        <v>Abrir facsímil</v>
      </c>
      <c r="K2849" s="3" t="s">
        <v>23</v>
      </c>
    </row>
    <row r="2850" spans="1:11" ht="42" customHeight="1">
      <c r="A2850" s="2" t="s">
        <v>7012</v>
      </c>
      <c r="B2850" s="2" t="s">
        <v>7013</v>
      </c>
      <c r="C2850" s="2" t="s">
        <v>136</v>
      </c>
      <c r="D2850" s="2" t="s">
        <v>18</v>
      </c>
      <c r="E2850" s="5">
        <v>-29376</v>
      </c>
      <c r="F2850" s="3" t="s">
        <v>332</v>
      </c>
      <c r="G2850" s="3" t="s">
        <v>28</v>
      </c>
      <c r="H2850" s="2" t="s">
        <v>21</v>
      </c>
      <c r="I2850" s="2" t="s">
        <v>7015</v>
      </c>
      <c r="J2850" s="3" t="str">
        <f>HYPERLINK("https://www.boe.es/gazeta/dias/1819/07/27/pdfs/GMD-1819-90.pdf#page=8","Abrir facsímil")</f>
        <v>Abrir facsímil</v>
      </c>
      <c r="K2850" s="3" t="s">
        <v>23</v>
      </c>
    </row>
    <row r="2851" spans="1:11" ht="42" customHeight="1">
      <c r="A2851" s="2" t="s">
        <v>7016</v>
      </c>
      <c r="B2851" s="2" t="s">
        <v>7017</v>
      </c>
      <c r="C2851" s="2" t="s">
        <v>215</v>
      </c>
      <c r="D2851" s="2" t="s">
        <v>18</v>
      </c>
      <c r="E2851" s="5">
        <v>-29521</v>
      </c>
      <c r="F2851" s="3" t="s">
        <v>1002</v>
      </c>
      <c r="G2851" s="3" t="s">
        <v>55</v>
      </c>
      <c r="H2851" s="2" t="s">
        <v>65</v>
      </c>
      <c r="I2851" s="2" t="s">
        <v>7018</v>
      </c>
      <c r="J2851" s="3" t="str">
        <f>HYPERLINK("https://www.boe.es/gazeta/dias/1819/03/04/pdfs/GMD-1819-27.pdf#page=7","Abrir facsímil")</f>
        <v>Abrir facsímil</v>
      </c>
      <c r="K2851" s="3" t="s">
        <v>67</v>
      </c>
    </row>
    <row r="2852" spans="1:11" ht="42" customHeight="1">
      <c r="A2852" s="2" t="s">
        <v>7019</v>
      </c>
      <c r="B2852" s="2" t="s">
        <v>7020</v>
      </c>
      <c r="C2852" s="2" t="s">
        <v>80</v>
      </c>
      <c r="D2852" s="2" t="s">
        <v>81</v>
      </c>
      <c r="E2852" s="5">
        <v>-29470</v>
      </c>
      <c r="F2852" s="3" t="s">
        <v>1188</v>
      </c>
      <c r="G2852" s="3" t="s">
        <v>296</v>
      </c>
      <c r="H2852" s="2" t="s">
        <v>65</v>
      </c>
      <c r="I2852" s="2" t="s">
        <v>7021</v>
      </c>
      <c r="J2852" s="3" t="str">
        <f>HYPERLINK("https://www.boe.es/gazeta/dias/1819/04/24/pdfs/GMD-1819-49.pdf#page=4","Abrir facsímil")</f>
        <v>Abrir facsímil</v>
      </c>
      <c r="K2852" s="3" t="s">
        <v>67</v>
      </c>
    </row>
    <row r="2853" spans="1:11" ht="42" customHeight="1">
      <c r="A2853" s="2" t="s">
        <v>7022</v>
      </c>
      <c r="B2853" s="2" t="s">
        <v>7023</v>
      </c>
      <c r="C2853" s="2" t="s">
        <v>80</v>
      </c>
      <c r="D2853" s="2" t="s">
        <v>81</v>
      </c>
      <c r="E2853" s="5">
        <v>-29449</v>
      </c>
      <c r="F2853" s="3" t="s">
        <v>771</v>
      </c>
      <c r="G2853" s="3" t="s">
        <v>33</v>
      </c>
      <c r="H2853" s="2" t="s">
        <v>65</v>
      </c>
      <c r="I2853" s="2" t="s">
        <v>7024</v>
      </c>
      <c r="J2853" s="3" t="str">
        <f>HYPERLINK("https://www.boe.es/gazeta/dias/1819/05/15/pdfs/GMD-1819-58.pdf#page=6","Abrir facsímil")</f>
        <v>Abrir facsímil</v>
      </c>
      <c r="K2853" s="3" t="s">
        <v>67</v>
      </c>
    </row>
    <row r="2854" spans="1:11" ht="42" customHeight="1">
      <c r="A2854" s="2" t="s">
        <v>7025</v>
      </c>
      <c r="B2854" s="2" t="s">
        <v>7025</v>
      </c>
      <c r="C2854" s="2" t="s">
        <v>80</v>
      </c>
      <c r="D2854" s="2" t="s">
        <v>81</v>
      </c>
      <c r="E2854" s="5">
        <v>-29383</v>
      </c>
      <c r="F2854" s="3" t="s">
        <v>631</v>
      </c>
      <c r="G2854" s="3" t="s">
        <v>5312</v>
      </c>
      <c r="H2854" s="2" t="s">
        <v>65</v>
      </c>
      <c r="I2854" s="2" t="s">
        <v>7026</v>
      </c>
      <c r="J2854" s="3" t="str">
        <f>HYPERLINK("https://www.boe.es/gazeta/dias/1819/07/20/pdfs/GMD-1819-87.pdf#page=4","Abrir facsímil")</f>
        <v>Abrir facsímil</v>
      </c>
      <c r="K2854" s="3" t="s">
        <v>67</v>
      </c>
    </row>
    <row r="2855" spans="1:11" ht="42" customHeight="1">
      <c r="A2855" s="2" t="s">
        <v>7027</v>
      </c>
      <c r="B2855" s="2" t="s">
        <v>7028</v>
      </c>
      <c r="C2855" s="2" t="s">
        <v>17</v>
      </c>
      <c r="D2855" s="2" t="s">
        <v>18</v>
      </c>
      <c r="E2855" s="5">
        <v>-29264</v>
      </c>
      <c r="F2855" s="3" t="s">
        <v>37</v>
      </c>
      <c r="G2855" s="3" t="s">
        <v>33</v>
      </c>
      <c r="H2855" s="2" t="s">
        <v>21</v>
      </c>
      <c r="I2855" s="2" t="s">
        <v>7029</v>
      </c>
      <c r="J2855" s="3" t="str">
        <f>HYPERLINK("https://www.boe.es/gazeta/dias/1819/11/16/pdfs/GMD-1819-141.pdf#page=6","Abrir facsímil")</f>
        <v>Abrir facsímil</v>
      </c>
      <c r="K2855" s="3" t="s">
        <v>23</v>
      </c>
    </row>
    <row r="2856" spans="1:11" ht="42" customHeight="1">
      <c r="A2856" s="2" t="s">
        <v>7030</v>
      </c>
      <c r="B2856" s="2" t="s">
        <v>7031</v>
      </c>
      <c r="C2856" s="2" t="s">
        <v>59</v>
      </c>
      <c r="D2856" s="2" t="s">
        <v>18</v>
      </c>
      <c r="E2856" s="5">
        <v>-29260</v>
      </c>
      <c r="F2856" s="3" t="s">
        <v>93</v>
      </c>
      <c r="G2856" s="3" t="s">
        <v>33</v>
      </c>
      <c r="H2856" s="2" t="s">
        <v>21</v>
      </c>
      <c r="I2856" s="2" t="s">
        <v>7032</v>
      </c>
      <c r="J2856" s="3" t="str">
        <f>HYPERLINK("https://www.boe.es/gazeta/dias/1819/11/20/pdfs/GMD-1819-143.pdf#page=6","Abrir facsímil")</f>
        <v>Abrir facsímil</v>
      </c>
      <c r="K2856" s="3" t="s">
        <v>23</v>
      </c>
    </row>
    <row r="2857" spans="1:11" ht="42" customHeight="1">
      <c r="A2857" s="2" t="s">
        <v>7033</v>
      </c>
      <c r="B2857" s="2" t="s">
        <v>7034</v>
      </c>
      <c r="C2857" s="2" t="s">
        <v>26</v>
      </c>
      <c r="D2857" s="2" t="s">
        <v>18</v>
      </c>
      <c r="E2857" s="5">
        <v>-29271</v>
      </c>
      <c r="F2857" s="3" t="s">
        <v>32</v>
      </c>
      <c r="G2857" s="3" t="s">
        <v>33</v>
      </c>
      <c r="H2857" s="2" t="s">
        <v>21</v>
      </c>
      <c r="I2857" s="2" t="s">
        <v>7035</v>
      </c>
      <c r="J2857" s="3" t="str">
        <f>HYPERLINK("https://www.boe.es/gazeta/dias/1819/11/09/pdfs/GMD-1819-138.pdf#page=6","Abrir facsímil")</f>
        <v>Abrir facsímil</v>
      </c>
      <c r="K2857" s="3" t="s">
        <v>23</v>
      </c>
    </row>
    <row r="2858" spans="1:11" ht="42" customHeight="1">
      <c r="A2858" s="2" t="s">
        <v>7036</v>
      </c>
      <c r="B2858" s="2" t="s">
        <v>7037</v>
      </c>
      <c r="C2858" s="2" t="s">
        <v>80</v>
      </c>
      <c r="D2858" s="2" t="s">
        <v>81</v>
      </c>
      <c r="E2858" s="5">
        <v>-29269</v>
      </c>
      <c r="F2858" s="3" t="s">
        <v>565</v>
      </c>
      <c r="G2858" s="3" t="s">
        <v>38</v>
      </c>
      <c r="H2858" s="2" t="s">
        <v>21</v>
      </c>
      <c r="I2858" s="2" t="s">
        <v>7038</v>
      </c>
      <c r="J2858" s="3" t="str">
        <f>HYPERLINK("https://www.boe.es/gazeta/dias/1819/11/11/pdfs/GMD-1819-139.pdf#page=5","Abrir facsímil")</f>
        <v>Abrir facsímil</v>
      </c>
      <c r="K2858" s="3" t="s">
        <v>23</v>
      </c>
    </row>
    <row r="2859" spans="1:11" ht="42" customHeight="1">
      <c r="A2859" s="2" t="s">
        <v>7039</v>
      </c>
      <c r="B2859" s="2" t="s">
        <v>7040</v>
      </c>
      <c r="C2859" s="2" t="s">
        <v>17</v>
      </c>
      <c r="D2859" s="2" t="s">
        <v>18</v>
      </c>
      <c r="E2859" s="5">
        <v>-29271</v>
      </c>
      <c r="F2859" s="3" t="s">
        <v>32</v>
      </c>
      <c r="G2859" s="3" t="s">
        <v>33</v>
      </c>
      <c r="H2859" s="2" t="s">
        <v>21</v>
      </c>
      <c r="I2859" s="2" t="s">
        <v>7041</v>
      </c>
      <c r="J2859" s="3" t="str">
        <f>HYPERLINK("https://www.boe.es/gazeta/dias/1819/11/09/pdfs/GMD-1819-138.pdf#page=6","Abrir facsímil")</f>
        <v>Abrir facsímil</v>
      </c>
      <c r="K2859" s="3" t="s">
        <v>23</v>
      </c>
    </row>
    <row r="2860" spans="1:11" ht="42" customHeight="1">
      <c r="A2860" s="2" t="s">
        <v>7042</v>
      </c>
      <c r="B2860" s="2" t="s">
        <v>7043</v>
      </c>
      <c r="C2860" s="2" t="s">
        <v>59</v>
      </c>
      <c r="D2860" s="2" t="s">
        <v>18</v>
      </c>
      <c r="E2860" s="5">
        <v>-29269</v>
      </c>
      <c r="F2860" s="3" t="s">
        <v>565</v>
      </c>
      <c r="G2860" s="3" t="s">
        <v>38</v>
      </c>
      <c r="H2860" s="2" t="s">
        <v>21</v>
      </c>
      <c r="I2860" s="2" t="s">
        <v>7044</v>
      </c>
      <c r="J2860" s="3" t="str">
        <f>HYPERLINK("https://www.boe.es/gazeta/dias/1819/11/11/pdfs/GMD-1819-139.pdf#page=5","Abrir facsímil")</f>
        <v>Abrir facsímil</v>
      </c>
      <c r="K2860" s="3" t="s">
        <v>23</v>
      </c>
    </row>
    <row r="2861" spans="1:11" ht="42" customHeight="1">
      <c r="A2861" s="2" t="s">
        <v>7045</v>
      </c>
      <c r="B2861" s="2" t="s">
        <v>7046</v>
      </c>
      <c r="C2861" s="2" t="s">
        <v>59</v>
      </c>
      <c r="D2861" s="2" t="s">
        <v>18</v>
      </c>
      <c r="E2861" s="5">
        <v>-29271</v>
      </c>
      <c r="F2861" s="3" t="s">
        <v>32</v>
      </c>
      <c r="G2861" s="3" t="s">
        <v>33</v>
      </c>
      <c r="H2861" s="2" t="s">
        <v>21</v>
      </c>
      <c r="I2861" s="2" t="s">
        <v>7047</v>
      </c>
      <c r="J2861" s="3" t="str">
        <f>HYPERLINK("https://www.boe.es/gazeta/dias/1819/11/09/pdfs/GMD-1819-138.pdf#page=6","Abrir facsímil")</f>
        <v>Abrir facsímil</v>
      </c>
      <c r="K2861" s="3" t="s">
        <v>23</v>
      </c>
    </row>
    <row r="2862" spans="1:11" ht="42" customHeight="1">
      <c r="A2862" s="2" t="s">
        <v>7048</v>
      </c>
      <c r="B2862" s="2" t="s">
        <v>7048</v>
      </c>
      <c r="C2862" s="2" t="s">
        <v>80</v>
      </c>
      <c r="D2862" s="2" t="s">
        <v>81</v>
      </c>
      <c r="E2862" s="5">
        <v>-29369</v>
      </c>
      <c r="F2862" s="3" t="s">
        <v>231</v>
      </c>
      <c r="G2862" s="3" t="s">
        <v>296</v>
      </c>
      <c r="H2862" s="2" t="s">
        <v>65</v>
      </c>
      <c r="I2862" s="2" t="s">
        <v>7049</v>
      </c>
      <c r="J2862" s="3" t="str">
        <f>HYPERLINK("https://www.boe.es/gazeta/dias/1819/08/03/pdfs/GMD-1819-93.pdf#page=4","Abrir facsímil")</f>
        <v>Abrir facsímil</v>
      </c>
      <c r="K2862" s="3" t="s">
        <v>67</v>
      </c>
    </row>
    <row r="2863" spans="1:11" ht="42" customHeight="1">
      <c r="A2863" s="2" t="s">
        <v>7050</v>
      </c>
      <c r="B2863" s="2" t="s">
        <v>7051</v>
      </c>
      <c r="C2863" s="2" t="s">
        <v>59</v>
      </c>
      <c r="D2863" s="2" t="s">
        <v>18</v>
      </c>
      <c r="E2863" s="5">
        <v>-29425</v>
      </c>
      <c r="F2863" s="3" t="s">
        <v>110</v>
      </c>
      <c r="G2863" s="3" t="s">
        <v>55</v>
      </c>
      <c r="H2863" s="2" t="s">
        <v>65</v>
      </c>
      <c r="I2863" s="2" t="s">
        <v>7052</v>
      </c>
      <c r="J2863" s="3" t="str">
        <f>HYPERLINK("https://www.boe.es/gazeta/dias/1819/06/08/pdfs/GMD-1819-68.pdf#page=7","Abrir facsímil")</f>
        <v>Abrir facsímil</v>
      </c>
      <c r="K2863" s="3" t="s">
        <v>67</v>
      </c>
    </row>
    <row r="2864" spans="1:11" ht="42" customHeight="1">
      <c r="A2864" s="2" t="s">
        <v>7053</v>
      </c>
      <c r="B2864" s="2" t="s">
        <v>7054</v>
      </c>
      <c r="C2864" s="2" t="s">
        <v>17</v>
      </c>
      <c r="D2864" s="2" t="s">
        <v>18</v>
      </c>
      <c r="E2864" s="5">
        <v>-29390</v>
      </c>
      <c r="F2864" s="3" t="s">
        <v>263</v>
      </c>
      <c r="G2864" s="3" t="s">
        <v>55</v>
      </c>
      <c r="H2864" s="2" t="s">
        <v>65</v>
      </c>
      <c r="I2864" s="2" t="s">
        <v>7055</v>
      </c>
      <c r="J2864" s="3" t="str">
        <f>HYPERLINK("https://www.boe.es/gazeta/dias/1819/07/13/pdfs/GMD-1819-84.pdf#page=7","Abrir facsímil")</f>
        <v>Abrir facsímil</v>
      </c>
      <c r="K2864" s="3" t="s">
        <v>67</v>
      </c>
    </row>
    <row r="2865" spans="1:11" ht="42" customHeight="1">
      <c r="A2865" s="2" t="s">
        <v>7056</v>
      </c>
      <c r="B2865" s="2" t="s">
        <v>7057</v>
      </c>
      <c r="C2865" s="2" t="s">
        <v>59</v>
      </c>
      <c r="D2865" s="2" t="s">
        <v>18</v>
      </c>
      <c r="E2865" s="5">
        <v>-29477</v>
      </c>
      <c r="F2865" s="3" t="s">
        <v>789</v>
      </c>
      <c r="G2865" s="3" t="s">
        <v>28</v>
      </c>
      <c r="H2865" s="2" t="s">
        <v>65</v>
      </c>
      <c r="I2865" s="2" t="s">
        <v>7058</v>
      </c>
      <c r="J2865" s="3" t="str">
        <f>HYPERLINK("https://www.boe.es/gazeta/dias/1819/04/17/pdfs/GMD-1819-46.pdf#page=8","Abrir facsímil")</f>
        <v>Abrir facsímil</v>
      </c>
      <c r="K2865" s="3" t="s">
        <v>67</v>
      </c>
    </row>
    <row r="2866" spans="1:11" ht="42" customHeight="1">
      <c r="A2866" s="2" t="s">
        <v>7059</v>
      </c>
      <c r="B2866" s="2" t="s">
        <v>7060</v>
      </c>
      <c r="C2866" s="2" t="s">
        <v>80</v>
      </c>
      <c r="D2866" s="2" t="s">
        <v>81</v>
      </c>
      <c r="E2866" s="5">
        <v>-29479</v>
      </c>
      <c r="F2866" s="3" t="s">
        <v>979</v>
      </c>
      <c r="G2866" s="3" t="s">
        <v>33</v>
      </c>
      <c r="H2866" s="2" t="s">
        <v>65</v>
      </c>
      <c r="I2866" s="2" t="s">
        <v>7061</v>
      </c>
      <c r="J2866" s="3" t="str">
        <f>HYPERLINK("https://www.boe.es/gazeta/dias/1819/04/15/pdfs/GMD-1819-45.pdf#page=6","Abrir facsímil")</f>
        <v>Abrir facsímil</v>
      </c>
      <c r="K2866" s="3" t="s">
        <v>67</v>
      </c>
    </row>
    <row r="2867" spans="1:11" ht="42" customHeight="1">
      <c r="A2867" s="2" t="s">
        <v>7062</v>
      </c>
      <c r="B2867" s="2" t="s">
        <v>7063</v>
      </c>
      <c r="C2867" s="2" t="s">
        <v>26</v>
      </c>
      <c r="D2867" s="2" t="s">
        <v>454</v>
      </c>
      <c r="E2867" s="5">
        <v>-29287</v>
      </c>
      <c r="F2867" s="3" t="s">
        <v>455</v>
      </c>
      <c r="G2867" s="3" t="s">
        <v>20</v>
      </c>
      <c r="H2867" s="2" t="s">
        <v>21</v>
      </c>
      <c r="I2867" s="2" t="s">
        <v>7064</v>
      </c>
      <c r="J2867" s="3" t="str">
        <f>HYPERLINK("https://www.boe.es/gazeta/dias/1819/10/24/pdfs/GMD-1819-131E.pdf#page=10","Abrir facsímil")</f>
        <v>Abrir facsímil</v>
      </c>
      <c r="K2867" s="3" t="s">
        <v>23</v>
      </c>
    </row>
    <row r="2868" spans="1:11" ht="42" customHeight="1">
      <c r="A2868" s="2" t="s">
        <v>7065</v>
      </c>
      <c r="B2868" s="2" t="s">
        <v>7066</v>
      </c>
      <c r="C2868" s="2" t="s">
        <v>246</v>
      </c>
      <c r="D2868" s="2" t="s">
        <v>18</v>
      </c>
      <c r="E2868" s="5">
        <v>-29267</v>
      </c>
      <c r="F2868" s="3" t="s">
        <v>370</v>
      </c>
      <c r="G2868" s="3" t="s">
        <v>138</v>
      </c>
      <c r="H2868" s="2" t="s">
        <v>65</v>
      </c>
      <c r="I2868" s="2" t="s">
        <v>7067</v>
      </c>
      <c r="J2868" s="3" t="str">
        <f>HYPERLINK("https://www.boe.es/gazeta/dias/1819/11/13/pdfs/GMD-1819-140.pdf#page=12","Abrir facsímil")</f>
        <v>Abrir facsímil</v>
      </c>
      <c r="K2868" s="3" t="s">
        <v>67</v>
      </c>
    </row>
    <row r="2869" spans="1:11" ht="42" customHeight="1">
      <c r="A2869" s="2" t="s">
        <v>7068</v>
      </c>
      <c r="B2869" s="2" t="s">
        <v>7069</v>
      </c>
      <c r="C2869" s="2" t="s">
        <v>80</v>
      </c>
      <c r="D2869" s="2" t="s">
        <v>81</v>
      </c>
      <c r="E2869" s="5">
        <v>-29479</v>
      </c>
      <c r="F2869" s="3" t="s">
        <v>979</v>
      </c>
      <c r="G2869" s="3" t="s">
        <v>55</v>
      </c>
      <c r="H2869" s="2" t="s">
        <v>65</v>
      </c>
      <c r="I2869" s="2" t="s">
        <v>7070</v>
      </c>
      <c r="J2869" s="3" t="str">
        <f>HYPERLINK("https://www.boe.es/gazeta/dias/1819/04/15/pdfs/GMD-1819-45.pdf#page=7","Abrir facsímil")</f>
        <v>Abrir facsímil</v>
      </c>
      <c r="K2869" s="3" t="s">
        <v>67</v>
      </c>
    </row>
    <row r="2870" spans="1:11" ht="42" customHeight="1">
      <c r="A2870" s="2" t="s">
        <v>7071</v>
      </c>
      <c r="B2870" s="2" t="s">
        <v>7072</v>
      </c>
      <c r="C2870" s="2" t="s">
        <v>80</v>
      </c>
      <c r="D2870" s="2" t="s">
        <v>81</v>
      </c>
      <c r="E2870" s="5">
        <v>-29346</v>
      </c>
      <c r="F2870" s="3" t="s">
        <v>718</v>
      </c>
      <c r="G2870" s="3" t="s">
        <v>33</v>
      </c>
      <c r="H2870" s="2" t="s">
        <v>65</v>
      </c>
      <c r="I2870" s="2" t="s">
        <v>7073</v>
      </c>
      <c r="J2870" s="3" t="str">
        <f>HYPERLINK("https://www.boe.es/gazeta/dias/1819/08/26/pdfs/GMD-1819-103.pdf#page=6","Abrir facsímil")</f>
        <v>Abrir facsímil</v>
      </c>
      <c r="K2870" s="3" t="s">
        <v>67</v>
      </c>
    </row>
    <row r="2871" spans="1:11" ht="42" customHeight="1">
      <c r="A2871" s="2" t="s">
        <v>7074</v>
      </c>
      <c r="B2871" s="2" t="s">
        <v>7075</v>
      </c>
      <c r="C2871" s="2" t="s">
        <v>246</v>
      </c>
      <c r="D2871" s="2" t="s">
        <v>18</v>
      </c>
      <c r="E2871" s="5">
        <v>-29467</v>
      </c>
      <c r="F2871" s="3" t="s">
        <v>1712</v>
      </c>
      <c r="G2871" s="3" t="s">
        <v>28</v>
      </c>
      <c r="H2871" s="2" t="s">
        <v>65</v>
      </c>
      <c r="I2871" s="2" t="s">
        <v>7076</v>
      </c>
      <c r="J2871" s="3" t="str">
        <f>HYPERLINK("https://www.boe.es/gazeta/dias/1819/04/27/pdfs/GMD-1819-50.pdf#page=8","Abrir facsímil")</f>
        <v>Abrir facsímil</v>
      </c>
      <c r="K2871" s="3" t="s">
        <v>67</v>
      </c>
    </row>
    <row r="2872" spans="1:11" ht="42" customHeight="1">
      <c r="A2872" s="2" t="s">
        <v>7077</v>
      </c>
      <c r="B2872" s="2" t="s">
        <v>7078</v>
      </c>
      <c r="C2872" s="2" t="s">
        <v>26</v>
      </c>
      <c r="D2872" s="2" t="s">
        <v>18</v>
      </c>
      <c r="E2872" s="5">
        <v>-29411</v>
      </c>
      <c r="F2872" s="3" t="s">
        <v>317</v>
      </c>
      <c r="G2872" s="3" t="s">
        <v>38</v>
      </c>
      <c r="H2872" s="2" t="s">
        <v>65</v>
      </c>
      <c r="I2872" s="2" t="s">
        <v>7079</v>
      </c>
      <c r="J2872" s="3" t="str">
        <f>HYPERLINK("https://www.boe.es/gazeta/dias/1819/06/22/pdfs/GMD-1819-75.pdf#page=5","Abrir facsímil")</f>
        <v>Abrir facsímil</v>
      </c>
      <c r="K2872" s="3" t="s">
        <v>67</v>
      </c>
    </row>
    <row r="2873" spans="1:11" ht="42" customHeight="1">
      <c r="A2873" s="2" t="s">
        <v>7080</v>
      </c>
      <c r="B2873" s="2" t="s">
        <v>7081</v>
      </c>
      <c r="C2873" s="2" t="s">
        <v>17</v>
      </c>
      <c r="D2873" s="2" t="s">
        <v>18</v>
      </c>
      <c r="E2873" s="5">
        <v>-29374</v>
      </c>
      <c r="F2873" s="3" t="s">
        <v>204</v>
      </c>
      <c r="G2873" s="3" t="s">
        <v>28</v>
      </c>
      <c r="H2873" s="2" t="s">
        <v>65</v>
      </c>
      <c r="I2873" s="2" t="s">
        <v>7082</v>
      </c>
      <c r="J2873" s="3" t="str">
        <f>HYPERLINK("https://www.boe.es/gazeta/dias/1819/07/29/pdfs/GMD-1819-91.pdf#page=8","Abrir facsímil")</f>
        <v>Abrir facsímil</v>
      </c>
      <c r="K2873" s="3" t="s">
        <v>67</v>
      </c>
    </row>
    <row r="2874" spans="1:11" ht="42" customHeight="1">
      <c r="A2874" s="2" t="s">
        <v>7083</v>
      </c>
      <c r="B2874" s="2" t="s">
        <v>7084</v>
      </c>
      <c r="C2874" s="2" t="s">
        <v>63</v>
      </c>
      <c r="D2874" s="2" t="s">
        <v>43</v>
      </c>
      <c r="E2874" s="5">
        <v>-29236</v>
      </c>
      <c r="F2874" s="3" t="s">
        <v>379</v>
      </c>
      <c r="G2874" s="3" t="s">
        <v>55</v>
      </c>
      <c r="H2874" s="2" t="s">
        <v>65</v>
      </c>
      <c r="I2874" s="2" t="s">
        <v>7085</v>
      </c>
      <c r="J2874" s="3" t="str">
        <f>HYPERLINK("https://www.boe.es/gazeta/dias/1819/12/14/pdfs/GMD-1819-153.pdf#page=7","Abrir facsímil")</f>
        <v>Abrir facsímil</v>
      </c>
      <c r="K2874" s="3" t="s">
        <v>67</v>
      </c>
    </row>
    <row r="2875" spans="1:11" ht="42" customHeight="1">
      <c r="A2875" s="2" t="s">
        <v>7086</v>
      </c>
      <c r="B2875" s="2" t="s">
        <v>7087</v>
      </c>
      <c r="C2875" s="2" t="s">
        <v>63</v>
      </c>
      <c r="D2875" s="2" t="s">
        <v>43</v>
      </c>
      <c r="E2875" s="5">
        <v>-29551</v>
      </c>
      <c r="F2875" s="3" t="s">
        <v>2173</v>
      </c>
      <c r="G2875" s="3" t="s">
        <v>55</v>
      </c>
      <c r="H2875" s="2" t="s">
        <v>65</v>
      </c>
      <c r="I2875" s="2" t="s">
        <v>7088</v>
      </c>
      <c r="J2875" s="3" t="str">
        <f>HYPERLINK("https://www.boe.es/gazeta/dias/1819/02/02/pdfs/GMD-1819-14.pdf#page=7","Abrir facsímil")</f>
        <v>Abrir facsímil</v>
      </c>
      <c r="K2875" s="3" t="s">
        <v>67</v>
      </c>
    </row>
    <row r="2876" spans="1:11" ht="42" customHeight="1">
      <c r="A2876" s="2" t="s">
        <v>7086</v>
      </c>
      <c r="B2876" s="2" t="s">
        <v>7087</v>
      </c>
      <c r="C2876" s="2" t="s">
        <v>63</v>
      </c>
      <c r="D2876" s="2" t="s">
        <v>43</v>
      </c>
      <c r="E2876" s="5">
        <v>-29547</v>
      </c>
      <c r="F2876" s="3" t="s">
        <v>238</v>
      </c>
      <c r="G2876" s="3" t="s">
        <v>55</v>
      </c>
      <c r="H2876" s="2" t="s">
        <v>65</v>
      </c>
      <c r="I2876" s="2" t="s">
        <v>7089</v>
      </c>
      <c r="J2876" s="3" t="str">
        <f>HYPERLINK("https://www.boe.es/gazeta/dias/1819/02/06/pdfs/GMD-1819-16.pdf#page=7","Abrir facsímil")</f>
        <v>Abrir facsímil</v>
      </c>
      <c r="K2876" s="3" t="s">
        <v>67</v>
      </c>
    </row>
    <row r="2877" spans="1:11" ht="42" customHeight="1">
      <c r="A2877" s="2" t="s">
        <v>7086</v>
      </c>
      <c r="B2877" s="2" t="s">
        <v>7087</v>
      </c>
      <c r="C2877" s="2" t="s">
        <v>63</v>
      </c>
      <c r="D2877" s="2" t="s">
        <v>43</v>
      </c>
      <c r="E2877" s="5">
        <v>-29540</v>
      </c>
      <c r="F2877" s="3" t="s">
        <v>154</v>
      </c>
      <c r="G2877" s="3" t="s">
        <v>28</v>
      </c>
      <c r="H2877" s="2" t="s">
        <v>65</v>
      </c>
      <c r="I2877" s="2" t="s">
        <v>7090</v>
      </c>
      <c r="J2877" s="3" t="str">
        <f>HYPERLINK("https://www.boe.es/gazeta/dias/1819/02/13/pdfs/GMD-1819-19.pdf#page=8","Abrir facsímil")</f>
        <v>Abrir facsímil</v>
      </c>
      <c r="K2877" s="3" t="s">
        <v>67</v>
      </c>
    </row>
    <row r="2878" spans="1:11" ht="42" customHeight="1">
      <c r="A2878" s="2" t="s">
        <v>7086</v>
      </c>
      <c r="B2878" s="2" t="s">
        <v>7087</v>
      </c>
      <c r="C2878" s="2" t="s">
        <v>63</v>
      </c>
      <c r="D2878" s="2" t="s">
        <v>43</v>
      </c>
      <c r="E2878" s="5">
        <v>-29523</v>
      </c>
      <c r="F2878" s="3" t="s">
        <v>436</v>
      </c>
      <c r="G2878" s="3" t="s">
        <v>2178</v>
      </c>
      <c r="H2878" s="2" t="s">
        <v>65</v>
      </c>
      <c r="I2878" s="2" t="s">
        <v>7091</v>
      </c>
      <c r="J2878" s="3" t="str">
        <f>HYPERLINK("https://www.boe.es/gazeta/dias/1819/03/02/pdfs/GMD-1819-26.pdf#page=7","Abrir facsímil")</f>
        <v>Abrir facsímil</v>
      </c>
      <c r="K2878" s="3" t="s">
        <v>67</v>
      </c>
    </row>
    <row r="2879" spans="1:11" ht="42" customHeight="1">
      <c r="A2879" s="2" t="s">
        <v>7092</v>
      </c>
      <c r="B2879" s="2" t="s">
        <v>7093</v>
      </c>
      <c r="C2879" s="2" t="s">
        <v>26</v>
      </c>
      <c r="D2879" s="2" t="s">
        <v>18</v>
      </c>
      <c r="E2879" s="5">
        <v>-29486</v>
      </c>
      <c r="F2879" s="3" t="s">
        <v>330</v>
      </c>
      <c r="G2879" s="3" t="s">
        <v>28</v>
      </c>
      <c r="H2879" s="2" t="s">
        <v>65</v>
      </c>
      <c r="I2879" s="2" t="s">
        <v>7094</v>
      </c>
      <c r="J2879" s="3" t="str">
        <f>HYPERLINK("https://www.boe.es/gazeta/dias/1819/04/08/pdfs/GMD-1819-42.pdf#page=8","Abrir facsímil")</f>
        <v>Abrir facsímil</v>
      </c>
      <c r="K2879" s="3" t="s">
        <v>67</v>
      </c>
    </row>
    <row r="2880" spans="1:11" ht="42" customHeight="1">
      <c r="A2880" s="2" t="s">
        <v>7095</v>
      </c>
      <c r="B2880" s="2" t="s">
        <v>7096</v>
      </c>
      <c r="C2880" s="2" t="s">
        <v>63</v>
      </c>
      <c r="D2880" s="2" t="s">
        <v>43</v>
      </c>
      <c r="E2880" s="5">
        <v>-29400</v>
      </c>
      <c r="F2880" s="3" t="s">
        <v>2181</v>
      </c>
      <c r="G2880" s="3" t="s">
        <v>2182</v>
      </c>
      <c r="H2880" s="2" t="s">
        <v>65</v>
      </c>
      <c r="I2880" s="2" t="s">
        <v>7097</v>
      </c>
      <c r="J2880" s="3" t="str">
        <f>HYPERLINK("https://www.boe.es/gazeta/dias/1819/07/03/pdfs/GMD-1819-80.pdf#page=8","Abrir facsímil")</f>
        <v>Abrir facsímil</v>
      </c>
      <c r="K2880" s="3" t="s">
        <v>67</v>
      </c>
    </row>
    <row r="2881" spans="1:11" ht="42" customHeight="1">
      <c r="A2881" s="2" t="s">
        <v>7086</v>
      </c>
      <c r="B2881" s="2" t="s">
        <v>7087</v>
      </c>
      <c r="C2881" s="2" t="s">
        <v>63</v>
      </c>
      <c r="D2881" s="2" t="s">
        <v>43</v>
      </c>
      <c r="E2881" s="5">
        <v>-29360</v>
      </c>
      <c r="F2881" s="3" t="s">
        <v>182</v>
      </c>
      <c r="G2881" s="3" t="s">
        <v>28</v>
      </c>
      <c r="H2881" s="2" t="s">
        <v>65</v>
      </c>
      <c r="I2881" s="2" t="s">
        <v>7098</v>
      </c>
      <c r="J2881" s="3" t="str">
        <f>HYPERLINK("https://www.boe.es/gazeta/dias/1819/08/12/pdfs/GMD-1819-97.pdf#page=8","Abrir facsímil")</f>
        <v>Abrir facsímil</v>
      </c>
      <c r="K2881" s="3" t="s">
        <v>67</v>
      </c>
    </row>
    <row r="2882" spans="1:11" ht="42" customHeight="1">
      <c r="A2882" s="2" t="s">
        <v>7099</v>
      </c>
      <c r="B2882" s="2" t="s">
        <v>7100</v>
      </c>
      <c r="C2882" s="2" t="s">
        <v>215</v>
      </c>
      <c r="D2882" s="2" t="s">
        <v>18</v>
      </c>
      <c r="E2882" s="5">
        <v>-29318</v>
      </c>
      <c r="F2882" s="3" t="s">
        <v>1442</v>
      </c>
      <c r="G2882" s="3" t="s">
        <v>1443</v>
      </c>
      <c r="H2882" s="2" t="s">
        <v>65</v>
      </c>
      <c r="I2882" s="2" t="s">
        <v>7101</v>
      </c>
      <c r="J2882" s="3" t="str">
        <f>HYPERLINK("https://www.boe.es/gazeta/dias/1819/09/23/pdfs/GMD-1819-117.pdf#page=8","Abrir facsímil")</f>
        <v>Abrir facsímil</v>
      </c>
      <c r="K2882" s="3" t="s">
        <v>67</v>
      </c>
    </row>
    <row r="2883" spans="1:11" ht="42" customHeight="1">
      <c r="A2883" s="2" t="s">
        <v>7102</v>
      </c>
      <c r="B2883" s="2" t="s">
        <v>7103</v>
      </c>
      <c r="C2883" s="2" t="s">
        <v>17</v>
      </c>
      <c r="D2883" s="2" t="s">
        <v>18</v>
      </c>
      <c r="E2883" s="5">
        <v>-29332</v>
      </c>
      <c r="F2883" s="3" t="s">
        <v>499</v>
      </c>
      <c r="G2883" s="3" t="s">
        <v>38</v>
      </c>
      <c r="H2883" s="2" t="s">
        <v>65</v>
      </c>
      <c r="I2883" s="2" t="s">
        <v>7104</v>
      </c>
      <c r="J2883" s="3" t="str">
        <f>HYPERLINK("https://www.boe.es/gazeta/dias/1819/09/09/pdfs/GMD-1819-110.pdf#page=5","Abrir facsímil")</f>
        <v>Abrir facsímil</v>
      </c>
      <c r="K2883" s="3" t="s">
        <v>67</v>
      </c>
    </row>
    <row r="2884" spans="1:11" ht="42" customHeight="1">
      <c r="A2884" s="2" t="s">
        <v>7105</v>
      </c>
      <c r="B2884" s="2" t="s">
        <v>7106</v>
      </c>
      <c r="C2884" s="2" t="s">
        <v>17</v>
      </c>
      <c r="D2884" s="2" t="s">
        <v>18</v>
      </c>
      <c r="E2884" s="5">
        <v>-29271</v>
      </c>
      <c r="F2884" s="3" t="s">
        <v>32</v>
      </c>
      <c r="G2884" s="3" t="s">
        <v>33</v>
      </c>
      <c r="H2884" s="2" t="s">
        <v>65</v>
      </c>
      <c r="I2884" s="2" t="s">
        <v>7107</v>
      </c>
      <c r="J2884" s="3" t="str">
        <f>HYPERLINK("https://www.boe.es/gazeta/dias/1819/11/09/pdfs/GMD-1819-138.pdf#page=6","Abrir facsímil")</f>
        <v>Abrir facsímil</v>
      </c>
      <c r="K2884" s="3" t="s">
        <v>67</v>
      </c>
    </row>
    <row r="2885" spans="1:11" ht="42" customHeight="1">
      <c r="A2885" s="2" t="s">
        <v>7108</v>
      </c>
      <c r="B2885" s="2" t="s">
        <v>7109</v>
      </c>
      <c r="C2885" s="2" t="s">
        <v>63</v>
      </c>
      <c r="D2885" s="2" t="s">
        <v>43</v>
      </c>
      <c r="E2885" s="5">
        <v>-29348</v>
      </c>
      <c r="F2885" s="3" t="s">
        <v>227</v>
      </c>
      <c r="G2885" s="3" t="s">
        <v>28</v>
      </c>
      <c r="H2885" s="2" t="s">
        <v>65</v>
      </c>
      <c r="I2885" s="2" t="s">
        <v>7110</v>
      </c>
      <c r="J2885" s="3" t="str">
        <f>HYPERLINK("https://www.boe.es/gazeta/dias/1819/08/24/pdfs/GMD-1819-102.pdf#page=8","Abrir facsímil")</f>
        <v>Abrir facsímil</v>
      </c>
      <c r="K2885" s="3" t="s">
        <v>67</v>
      </c>
    </row>
    <row r="2886" spans="1:11" ht="42" customHeight="1">
      <c r="A2886" s="2" t="s">
        <v>7111</v>
      </c>
      <c r="B2886" s="2" t="s">
        <v>7112</v>
      </c>
      <c r="C2886" s="2" t="s">
        <v>59</v>
      </c>
      <c r="D2886" s="2" t="s">
        <v>18</v>
      </c>
      <c r="E2886" s="5">
        <v>-29276</v>
      </c>
      <c r="F2886" s="3" t="s">
        <v>54</v>
      </c>
      <c r="G2886" s="3" t="s">
        <v>55</v>
      </c>
      <c r="H2886" s="2" t="s">
        <v>65</v>
      </c>
      <c r="I2886" s="2" t="s">
        <v>7113</v>
      </c>
      <c r="J2886" s="3" t="str">
        <f>HYPERLINK("https://www.boe.es/gazeta/dias/1819/11/04/pdfs/GMD-1819-136.pdf#page=7","Abrir facsímil")</f>
        <v>Abrir facsímil</v>
      </c>
      <c r="K2886" s="3" t="s">
        <v>67</v>
      </c>
    </row>
    <row r="2887" spans="1:11" ht="42" customHeight="1">
      <c r="A2887" s="2" t="s">
        <v>7114</v>
      </c>
      <c r="B2887" s="2" t="s">
        <v>7115</v>
      </c>
      <c r="C2887" s="2" t="s">
        <v>215</v>
      </c>
      <c r="D2887" s="2" t="s">
        <v>18</v>
      </c>
      <c r="E2887" s="5">
        <v>-29486</v>
      </c>
      <c r="F2887" s="3" t="s">
        <v>330</v>
      </c>
      <c r="G2887" s="3" t="s">
        <v>28</v>
      </c>
      <c r="H2887" s="2" t="s">
        <v>65</v>
      </c>
      <c r="I2887" s="2" t="s">
        <v>7116</v>
      </c>
      <c r="J2887" s="3" t="str">
        <f>HYPERLINK("https://www.boe.es/gazeta/dias/1819/04/08/pdfs/GMD-1819-42.pdf#page=8","Abrir facsímil")</f>
        <v>Abrir facsímil</v>
      </c>
      <c r="K2887" s="3" t="s">
        <v>67</v>
      </c>
    </row>
    <row r="2888" spans="1:11" ht="42" customHeight="1">
      <c r="A2888" s="2" t="s">
        <v>7117</v>
      </c>
      <c r="B2888" s="2" t="s">
        <v>7118</v>
      </c>
      <c r="C2888" s="2" t="s">
        <v>80</v>
      </c>
      <c r="D2888" s="2" t="s">
        <v>81</v>
      </c>
      <c r="E2888" s="5">
        <v>-29542</v>
      </c>
      <c r="F2888" s="3" t="s">
        <v>607</v>
      </c>
      <c r="G2888" s="3" t="s">
        <v>608</v>
      </c>
      <c r="H2888" s="2" t="s">
        <v>65</v>
      </c>
      <c r="I2888" s="2" t="s">
        <v>7119</v>
      </c>
      <c r="J2888" s="3" t="str">
        <f>HYPERLINK("https://www.boe.es/gazeta/dias/1819/02/11/pdfs/GMD-1819-18.pdf#page=6","Abrir facsímil")</f>
        <v>Abrir facsímil</v>
      </c>
      <c r="K2888" s="3" t="s">
        <v>67</v>
      </c>
    </row>
    <row r="2889" spans="1:11" ht="42" customHeight="1">
      <c r="A2889" s="2" t="s">
        <v>7120</v>
      </c>
      <c r="B2889" s="2" t="s">
        <v>7121</v>
      </c>
      <c r="C2889" s="2" t="s">
        <v>80</v>
      </c>
      <c r="D2889" s="2" t="s">
        <v>81</v>
      </c>
      <c r="E2889" s="5">
        <v>-29451</v>
      </c>
      <c r="F2889" s="3" t="s">
        <v>208</v>
      </c>
      <c r="G2889" s="3" t="s">
        <v>55</v>
      </c>
      <c r="H2889" s="2" t="s">
        <v>65</v>
      </c>
      <c r="I2889" s="2" t="s">
        <v>7122</v>
      </c>
      <c r="J2889" s="3" t="str">
        <f>HYPERLINK("https://www.boe.es/gazeta/dias/1819/05/13/pdfs/GMD-1819-57.pdf#page=7","Abrir facsímil")</f>
        <v>Abrir facsímil</v>
      </c>
      <c r="K2889" s="3" t="s">
        <v>67</v>
      </c>
    </row>
    <row r="2890" spans="1:11" ht="42" customHeight="1">
      <c r="A2890" s="2" t="s">
        <v>7123</v>
      </c>
      <c r="B2890" s="2" t="s">
        <v>7124</v>
      </c>
      <c r="C2890" s="2" t="s">
        <v>59</v>
      </c>
      <c r="D2890" s="2" t="s">
        <v>18</v>
      </c>
      <c r="E2890" s="5">
        <v>-29374</v>
      </c>
      <c r="F2890" s="3" t="s">
        <v>204</v>
      </c>
      <c r="G2890" s="3" t="s">
        <v>33</v>
      </c>
      <c r="H2890" s="2" t="s">
        <v>65</v>
      </c>
      <c r="I2890" s="2" t="s">
        <v>7125</v>
      </c>
      <c r="J2890" s="3" t="str">
        <f>HYPERLINK("https://www.boe.es/gazeta/dias/1819/07/29/pdfs/GMD-1819-91.pdf#page=6","Abrir facsímil")</f>
        <v>Abrir facsímil</v>
      </c>
      <c r="K2890" s="3" t="s">
        <v>67</v>
      </c>
    </row>
    <row r="2891" spans="1:11" ht="42" customHeight="1">
      <c r="A2891" s="2" t="s">
        <v>7126</v>
      </c>
      <c r="B2891" s="2" t="s">
        <v>7127</v>
      </c>
      <c r="C2891" s="2" t="s">
        <v>80</v>
      </c>
      <c r="D2891" s="2" t="s">
        <v>81</v>
      </c>
      <c r="E2891" s="5">
        <v>-29474</v>
      </c>
      <c r="F2891" s="3" t="s">
        <v>216</v>
      </c>
      <c r="G2891" s="3" t="s">
        <v>38</v>
      </c>
      <c r="H2891" s="2" t="s">
        <v>65</v>
      </c>
      <c r="I2891" s="2" t="s">
        <v>7128</v>
      </c>
      <c r="J2891" s="3" t="str">
        <f>HYPERLINK("https://www.boe.es/gazeta/dias/1819/04/20/pdfs/GMD-1819-47.pdf#page=5","Abrir facsímil")</f>
        <v>Abrir facsímil</v>
      </c>
      <c r="K2891" s="3" t="s">
        <v>67</v>
      </c>
    </row>
    <row r="2892" spans="1:11" ht="42" customHeight="1">
      <c r="A2892" s="2" t="s">
        <v>7129</v>
      </c>
      <c r="B2892" s="2" t="s">
        <v>7130</v>
      </c>
      <c r="C2892" s="2" t="s">
        <v>59</v>
      </c>
      <c r="D2892" s="2" t="s">
        <v>18</v>
      </c>
      <c r="E2892" s="5">
        <v>-29414</v>
      </c>
      <c r="F2892" s="3" t="s">
        <v>732</v>
      </c>
      <c r="G2892" s="3" t="s">
        <v>28</v>
      </c>
      <c r="H2892" s="2" t="s">
        <v>65</v>
      </c>
      <c r="I2892" s="2" t="s">
        <v>7131</v>
      </c>
      <c r="J2892" s="3" t="str">
        <f>HYPERLINK("https://www.boe.es/gazeta/dias/1819/06/19/pdfs/GMD-1819-74.pdf#page=8","Abrir facsímil")</f>
        <v>Abrir facsímil</v>
      </c>
      <c r="K2892" s="3" t="s">
        <v>67</v>
      </c>
    </row>
    <row r="2893" spans="1:11" ht="42" customHeight="1">
      <c r="A2893" s="2" t="s">
        <v>7132</v>
      </c>
      <c r="B2893" s="2" t="s">
        <v>7133</v>
      </c>
      <c r="C2893" s="2" t="s">
        <v>59</v>
      </c>
      <c r="D2893" s="2" t="s">
        <v>18</v>
      </c>
      <c r="E2893" s="5">
        <v>-29575</v>
      </c>
      <c r="F2893" s="3" t="s">
        <v>77</v>
      </c>
      <c r="G2893" s="3" t="s">
        <v>55</v>
      </c>
      <c r="H2893" s="2" t="s">
        <v>21</v>
      </c>
      <c r="I2893" s="2" t="s">
        <v>7134</v>
      </c>
      <c r="J2893" s="3" t="str">
        <f>HYPERLINK("https://www.boe.es/gazeta/dias/1819/01/09/pdfs/GMD-1819-4.pdf#page=7","Abrir facsímil")</f>
        <v>Abrir facsímil</v>
      </c>
      <c r="K2893" s="3" t="s">
        <v>23</v>
      </c>
    </row>
    <row r="2894" spans="1:11" ht="42" customHeight="1">
      <c r="A2894" s="2" t="s">
        <v>7135</v>
      </c>
      <c r="B2894" s="2" t="s">
        <v>7136</v>
      </c>
      <c r="C2894" s="2" t="s">
        <v>63</v>
      </c>
      <c r="D2894" s="2" t="s">
        <v>43</v>
      </c>
      <c r="E2894" s="5">
        <v>-29281</v>
      </c>
      <c r="F2894" s="3" t="s">
        <v>19</v>
      </c>
      <c r="G2894" s="3" t="s">
        <v>55</v>
      </c>
      <c r="H2894" s="2" t="s">
        <v>65</v>
      </c>
      <c r="I2894" s="2" t="s">
        <v>7137</v>
      </c>
      <c r="J2894" s="3" t="str">
        <f>HYPERLINK("https://www.boe.es/gazeta/dias/1819/10/30/pdfs/GMD-1819-134.pdf#page=7","Abrir facsímil")</f>
        <v>Abrir facsímil</v>
      </c>
      <c r="K2894" s="3" t="s">
        <v>67</v>
      </c>
    </row>
    <row r="2895" spans="1:11" ht="42" customHeight="1">
      <c r="A2895" s="2" t="s">
        <v>7138</v>
      </c>
      <c r="B2895" s="2" t="s">
        <v>7139</v>
      </c>
      <c r="C2895" s="2" t="s">
        <v>63</v>
      </c>
      <c r="D2895" s="2" t="s">
        <v>43</v>
      </c>
      <c r="E2895" s="5">
        <v>-29430</v>
      </c>
      <c r="F2895" s="3" t="s">
        <v>178</v>
      </c>
      <c r="G2895" s="3" t="s">
        <v>55</v>
      </c>
      <c r="H2895" s="2" t="s">
        <v>21</v>
      </c>
      <c r="I2895" s="2" t="s">
        <v>7140</v>
      </c>
      <c r="J2895" s="3" t="str">
        <f>HYPERLINK("https://www.boe.es/gazeta/dias/1819/06/03/pdfs/GMD-1819-66.pdf#page=7","Abrir facsímil")</f>
        <v>Abrir facsímil</v>
      </c>
      <c r="K2895" s="3" t="s">
        <v>23</v>
      </c>
    </row>
    <row r="2896" spans="1:11" ht="42" customHeight="1">
      <c r="A2896" s="2" t="s">
        <v>7141</v>
      </c>
      <c r="B2896" s="2" t="s">
        <v>7142</v>
      </c>
      <c r="C2896" s="2" t="s">
        <v>80</v>
      </c>
      <c r="D2896" s="2" t="s">
        <v>81</v>
      </c>
      <c r="E2896" s="5">
        <v>-29381</v>
      </c>
      <c r="F2896" s="3" t="s">
        <v>736</v>
      </c>
      <c r="G2896" s="3" t="s">
        <v>296</v>
      </c>
      <c r="H2896" s="2" t="s">
        <v>21</v>
      </c>
      <c r="I2896" s="2" t="s">
        <v>7143</v>
      </c>
      <c r="J2896" s="3" t="str">
        <f>HYPERLINK("https://www.boe.es/gazeta/dias/1819/07/22/pdfs/GMD-1819-88.pdf#page=4","Abrir facsímil")</f>
        <v>Abrir facsímil</v>
      </c>
      <c r="K2896" s="3" t="s">
        <v>23</v>
      </c>
    </row>
    <row r="2897" spans="1:11" ht="42" customHeight="1">
      <c r="A2897" s="2" t="s">
        <v>7144</v>
      </c>
      <c r="B2897" s="2" t="s">
        <v>7144</v>
      </c>
      <c r="C2897" s="2" t="s">
        <v>26</v>
      </c>
      <c r="D2897" s="2" t="s">
        <v>18</v>
      </c>
      <c r="E2897" s="5">
        <v>-29250</v>
      </c>
      <c r="F2897" s="3" t="s">
        <v>312</v>
      </c>
      <c r="G2897" s="3" t="s">
        <v>7145</v>
      </c>
      <c r="H2897" s="2" t="s">
        <v>65</v>
      </c>
      <c r="I2897" s="2" t="s">
        <v>7146</v>
      </c>
      <c r="J2897" s="3" t="str">
        <f>HYPERLINK("https://www.boe.es/gazeta/dias/1819/11/30/pdfs/GMD-1819-147.pdf#page=6","Abrir facsímil")</f>
        <v>Abrir facsímil</v>
      </c>
      <c r="K2897" s="3" t="s">
        <v>67</v>
      </c>
    </row>
    <row r="2898" spans="1:11" ht="42" customHeight="1">
      <c r="A2898" s="2" t="s">
        <v>7147</v>
      </c>
      <c r="B2898" s="2" t="s">
        <v>7148</v>
      </c>
      <c r="C2898" s="2" t="s">
        <v>26</v>
      </c>
      <c r="D2898" s="2" t="s">
        <v>18</v>
      </c>
      <c r="E2898" s="5">
        <v>-29250</v>
      </c>
      <c r="F2898" s="3" t="s">
        <v>312</v>
      </c>
      <c r="G2898" s="3" t="s">
        <v>7145</v>
      </c>
      <c r="H2898" s="2" t="s">
        <v>65</v>
      </c>
      <c r="I2898" s="2" t="s">
        <v>7149</v>
      </c>
      <c r="J2898" s="3" t="str">
        <f>HYPERLINK("https://www.boe.es/gazeta/dias/1819/11/30/pdfs/GMD-1819-147.pdf#page=6","Abrir facsímil")</f>
        <v>Abrir facsímil</v>
      </c>
      <c r="K2898" s="3" t="s">
        <v>67</v>
      </c>
    </row>
    <row r="2899" spans="1:11" ht="42" customHeight="1">
      <c r="A2899" s="2" t="s">
        <v>7150</v>
      </c>
      <c r="B2899" s="2" t="s">
        <v>7150</v>
      </c>
      <c r="C2899" s="2" t="s">
        <v>80</v>
      </c>
      <c r="D2899" s="2" t="s">
        <v>81</v>
      </c>
      <c r="E2899" s="5">
        <v>-29362</v>
      </c>
      <c r="F2899" s="3" t="s">
        <v>803</v>
      </c>
      <c r="G2899" s="3" t="s">
        <v>239</v>
      </c>
      <c r="H2899" s="2" t="s">
        <v>65</v>
      </c>
      <c r="I2899" s="2" t="s">
        <v>7151</v>
      </c>
      <c r="J2899" s="3" t="str">
        <f>HYPERLINK("https://www.boe.es/gazeta/dias/1819/08/10/pdfs/GMD-1819-96.pdf#page=1","Abrir facsímil")</f>
        <v>Abrir facsímil</v>
      </c>
      <c r="K2899" s="3" t="s">
        <v>67</v>
      </c>
    </row>
    <row r="2900" spans="1:11" ht="42" customHeight="1">
      <c r="A2900" s="2" t="s">
        <v>7152</v>
      </c>
      <c r="B2900" s="2" t="s">
        <v>7152</v>
      </c>
      <c r="C2900" s="2" t="s">
        <v>17</v>
      </c>
      <c r="D2900" s="2" t="s">
        <v>18</v>
      </c>
      <c r="E2900" s="5">
        <v>-29404</v>
      </c>
      <c r="F2900" s="3" t="s">
        <v>1939</v>
      </c>
      <c r="G2900" s="3" t="s">
        <v>7153</v>
      </c>
      <c r="H2900" s="2" t="s">
        <v>65</v>
      </c>
      <c r="I2900" s="2" t="s">
        <v>7154</v>
      </c>
      <c r="J2900" s="3" t="str">
        <f>HYPERLINK("https://www.boe.es/gazeta/dias/1819/06/29/pdfs/GMD-1819-78.pdf#page=4","Abrir facsímil")</f>
        <v>Abrir facsímil</v>
      </c>
      <c r="K2900" s="3" t="s">
        <v>67</v>
      </c>
    </row>
    <row r="2901" spans="1:11" ht="42" customHeight="1">
      <c r="A2901" s="2" t="s">
        <v>7155</v>
      </c>
      <c r="B2901" s="2" t="s">
        <v>7156</v>
      </c>
      <c r="C2901" s="2" t="s">
        <v>80</v>
      </c>
      <c r="D2901" s="2" t="s">
        <v>81</v>
      </c>
      <c r="E2901" s="5">
        <v>-29495</v>
      </c>
      <c r="F2901" s="3" t="s">
        <v>992</v>
      </c>
      <c r="G2901" s="3" t="s">
        <v>38</v>
      </c>
      <c r="H2901" s="2" t="s">
        <v>65</v>
      </c>
      <c r="I2901" s="2" t="s">
        <v>7157</v>
      </c>
      <c r="J2901" s="3" t="str">
        <f>HYPERLINK("https://www.boe.es/gazeta/dias/1819/03/30/pdfs/GMD-1819-38.pdf#page=5","Abrir facsímil")</f>
        <v>Abrir facsímil</v>
      </c>
      <c r="K2901" s="3" t="s">
        <v>67</v>
      </c>
    </row>
    <row r="2902" spans="1:11" ht="42" customHeight="1">
      <c r="A2902" s="2" t="s">
        <v>7158</v>
      </c>
      <c r="B2902" s="2" t="s">
        <v>7158</v>
      </c>
      <c r="C2902" s="2" t="s">
        <v>42</v>
      </c>
      <c r="D2902" s="2" t="s">
        <v>43</v>
      </c>
      <c r="E2902" s="5">
        <v>-29264</v>
      </c>
      <c r="F2902" s="3" t="s">
        <v>37</v>
      </c>
      <c r="G2902" s="3" t="s">
        <v>5761</v>
      </c>
      <c r="H2902" s="2" t="s">
        <v>65</v>
      </c>
      <c r="I2902" s="2" t="s">
        <v>7159</v>
      </c>
      <c r="J2902" s="3" t="str">
        <f>HYPERLINK("https://www.boe.es/gazeta/dias/1819/11/16/pdfs/GMD-1819-141.pdf#page=4","Abrir facsímil")</f>
        <v>Abrir facsímil</v>
      </c>
      <c r="K2902" s="3" t="s">
        <v>67</v>
      </c>
    </row>
    <row r="2903" spans="1:11" ht="42" customHeight="1">
      <c r="A2903" s="2" t="s">
        <v>7160</v>
      </c>
      <c r="B2903" s="2" t="s">
        <v>7161</v>
      </c>
      <c r="C2903" s="2" t="s">
        <v>59</v>
      </c>
      <c r="D2903" s="2" t="s">
        <v>18</v>
      </c>
      <c r="E2903" s="5">
        <v>-29428</v>
      </c>
      <c r="F2903" s="3" t="s">
        <v>730</v>
      </c>
      <c r="G2903" s="3" t="s">
        <v>33</v>
      </c>
      <c r="H2903" s="2" t="s">
        <v>65</v>
      </c>
      <c r="I2903" s="2" t="s">
        <v>7162</v>
      </c>
      <c r="J2903" s="3" t="str">
        <f>HYPERLINK("https://www.boe.es/gazeta/dias/1819/06/05/pdfs/GMD-1819-67.pdf#page=6","Abrir facsímil")</f>
        <v>Abrir facsímil</v>
      </c>
      <c r="K2903" s="3" t="s">
        <v>67</v>
      </c>
    </row>
    <row r="2904" spans="1:11" ht="42" customHeight="1">
      <c r="A2904" s="2" t="s">
        <v>7163</v>
      </c>
      <c r="B2904" s="2" t="s">
        <v>7163</v>
      </c>
      <c r="C2904" s="2" t="s">
        <v>80</v>
      </c>
      <c r="D2904" s="2" t="s">
        <v>81</v>
      </c>
      <c r="E2904" s="5">
        <v>-29570</v>
      </c>
      <c r="F2904" s="3" t="s">
        <v>2008</v>
      </c>
      <c r="G2904" s="3" t="s">
        <v>38</v>
      </c>
      <c r="H2904" s="2" t="s">
        <v>65</v>
      </c>
      <c r="I2904" s="2" t="s">
        <v>7164</v>
      </c>
      <c r="J2904" s="3" t="str">
        <f>HYPERLINK("https://www.boe.es/gazeta/dias/1819/01/14/pdfs/GMD-1819-6.pdf#page=5","Abrir facsímil")</f>
        <v>Abrir facsímil</v>
      </c>
      <c r="K2904" s="3" t="s">
        <v>67</v>
      </c>
    </row>
    <row r="2905" spans="1:11" ht="42" customHeight="1">
      <c r="A2905" s="2" t="s">
        <v>7163</v>
      </c>
      <c r="B2905" s="2" t="s">
        <v>7163</v>
      </c>
      <c r="C2905" s="2" t="s">
        <v>63</v>
      </c>
      <c r="D2905" s="2" t="s">
        <v>43</v>
      </c>
      <c r="E2905" s="5">
        <v>-29463</v>
      </c>
      <c r="F2905" s="3" t="s">
        <v>114</v>
      </c>
      <c r="G2905" s="3" t="s">
        <v>296</v>
      </c>
      <c r="H2905" s="2" t="s">
        <v>65</v>
      </c>
      <c r="I2905" s="2" t="s">
        <v>7165</v>
      </c>
      <c r="J2905" s="3" t="str">
        <f>HYPERLINK("https://www.boe.es/gazeta/dias/1819/05/01/pdfs/GMD-1819-52.pdf#page=4","Abrir facsímil")</f>
        <v>Abrir facsímil</v>
      </c>
      <c r="K2905" s="3" t="s">
        <v>67</v>
      </c>
    </row>
    <row r="2906" spans="1:11" ht="42" customHeight="1">
      <c r="A2906" s="2" t="s">
        <v>7166</v>
      </c>
      <c r="B2906" s="2" t="s">
        <v>7166</v>
      </c>
      <c r="C2906" s="2" t="s">
        <v>80</v>
      </c>
      <c r="D2906" s="2" t="s">
        <v>81</v>
      </c>
      <c r="E2906" s="5">
        <v>-29248</v>
      </c>
      <c r="F2906" s="3" t="s">
        <v>395</v>
      </c>
      <c r="G2906" s="3" t="s">
        <v>296</v>
      </c>
      <c r="H2906" s="2" t="s">
        <v>65</v>
      </c>
      <c r="I2906" s="2" t="s">
        <v>7167</v>
      </c>
      <c r="J2906" s="3" t="str">
        <f>HYPERLINK("https://www.boe.es/gazeta/dias/1819/12/02/pdfs/GMD-1819-148.pdf#page=4","Abrir facsímil")</f>
        <v>Abrir facsímil</v>
      </c>
      <c r="K2906" s="3" t="s">
        <v>67</v>
      </c>
    </row>
    <row r="2907" spans="1:11" ht="42" customHeight="1">
      <c r="A2907" s="2" t="s">
        <v>7168</v>
      </c>
      <c r="B2907" s="2" t="s">
        <v>7169</v>
      </c>
      <c r="C2907" s="2" t="s">
        <v>59</v>
      </c>
      <c r="D2907" s="2" t="s">
        <v>18</v>
      </c>
      <c r="E2907" s="5">
        <v>-29246</v>
      </c>
      <c r="F2907" s="3" t="s">
        <v>494</v>
      </c>
      <c r="G2907" s="3" t="s">
        <v>495</v>
      </c>
      <c r="H2907" s="2" t="s">
        <v>65</v>
      </c>
      <c r="I2907" s="2" t="s">
        <v>7170</v>
      </c>
      <c r="J2907" s="3" t="str">
        <f>HYPERLINK("https://www.boe.es/gazeta/dias/1819/12/04/pdfs/GMD-1819-149.pdf#page=6","Abrir facsímil")</f>
        <v>Abrir facsímil</v>
      </c>
      <c r="K2907" s="3" t="s">
        <v>67</v>
      </c>
    </row>
    <row r="2908" spans="1:11" ht="42" customHeight="1">
      <c r="A2908" s="2" t="s">
        <v>7171</v>
      </c>
      <c r="B2908" s="2" t="s">
        <v>7172</v>
      </c>
      <c r="C2908" s="2" t="s">
        <v>80</v>
      </c>
      <c r="D2908" s="2" t="s">
        <v>454</v>
      </c>
      <c r="E2908" s="5">
        <v>-29287</v>
      </c>
      <c r="F2908" s="3" t="s">
        <v>455</v>
      </c>
      <c r="G2908" s="3" t="s">
        <v>481</v>
      </c>
      <c r="H2908" s="2" t="s">
        <v>21</v>
      </c>
      <c r="I2908" s="2" t="s">
        <v>7173</v>
      </c>
      <c r="J2908" s="3" t="str">
        <f>HYPERLINK("https://www.boe.es/gazeta/dias/1819/10/24/pdfs/GMD-1819-131E.pdf#page=8","Abrir facsímil")</f>
        <v>Abrir facsímil</v>
      </c>
      <c r="K2908" s="3" t="s">
        <v>23</v>
      </c>
    </row>
    <row r="2909" spans="1:11" ht="42" customHeight="1">
      <c r="A2909" s="2" t="s">
        <v>7174</v>
      </c>
      <c r="B2909" s="2" t="s">
        <v>7174</v>
      </c>
      <c r="C2909" s="2" t="s">
        <v>63</v>
      </c>
      <c r="D2909" s="2" t="s">
        <v>43</v>
      </c>
      <c r="E2909" s="5">
        <v>-29365</v>
      </c>
      <c r="F2909" s="3" t="s">
        <v>218</v>
      </c>
      <c r="G2909" s="3" t="s">
        <v>28</v>
      </c>
      <c r="H2909" s="2" t="s">
        <v>65</v>
      </c>
      <c r="I2909" s="2" t="s">
        <v>7175</v>
      </c>
      <c r="J2909" s="3" t="str">
        <f>HYPERLINK("https://www.boe.es/gazeta/dias/1819/08/07/pdfs/GMD-1819-95.pdf#page=8","Abrir facsímil")</f>
        <v>Abrir facsímil</v>
      </c>
      <c r="K2909" s="3" t="s">
        <v>67</v>
      </c>
    </row>
    <row r="2910" spans="1:11" ht="42" customHeight="1">
      <c r="A2910" s="2" t="s">
        <v>7176</v>
      </c>
      <c r="B2910" s="2" t="s">
        <v>7176</v>
      </c>
      <c r="C2910" s="2" t="s">
        <v>215</v>
      </c>
      <c r="D2910" s="2" t="s">
        <v>18</v>
      </c>
      <c r="E2910" s="5">
        <v>-29558</v>
      </c>
      <c r="F2910" s="3" t="s">
        <v>1463</v>
      </c>
      <c r="G2910" s="3" t="s">
        <v>28</v>
      </c>
      <c r="H2910" s="2" t="s">
        <v>65</v>
      </c>
      <c r="I2910" s="2" t="s">
        <v>7177</v>
      </c>
      <c r="J2910" s="3" t="str">
        <f>HYPERLINK("https://www.boe.es/gazeta/dias/1819/01/26/pdfs/GMD-1819-11.pdf#page=8","Abrir facsímil")</f>
        <v>Abrir facsímil</v>
      </c>
      <c r="K2910" s="3" t="s">
        <v>67</v>
      </c>
    </row>
    <row r="2911" spans="1:11" ht="42" customHeight="1">
      <c r="A2911" s="2" t="s">
        <v>7178</v>
      </c>
      <c r="B2911" s="2" t="s">
        <v>7179</v>
      </c>
      <c r="C2911" s="2" t="s">
        <v>26</v>
      </c>
      <c r="D2911" s="2" t="s">
        <v>18</v>
      </c>
      <c r="E2911" s="5">
        <v>-29439</v>
      </c>
      <c r="F2911" s="3" t="s">
        <v>1101</v>
      </c>
      <c r="G2911" s="3" t="s">
        <v>1960</v>
      </c>
      <c r="H2911" s="2" t="s">
        <v>65</v>
      </c>
      <c r="I2911" s="2" t="s">
        <v>7180</v>
      </c>
      <c r="J2911" s="3" t="str">
        <f>HYPERLINK("https://www.boe.es/gazeta/dias/1819/05/25/pdfs/GMD-1819-62.pdf#page=8","Abrir facsímil")</f>
        <v>Abrir facsímil</v>
      </c>
      <c r="K2911" s="3" t="s">
        <v>67</v>
      </c>
    </row>
    <row r="2912" spans="1:11" ht="42" customHeight="1">
      <c r="A2912" s="2" t="s">
        <v>7178</v>
      </c>
      <c r="B2912" s="2" t="s">
        <v>7179</v>
      </c>
      <c r="C2912" s="2" t="s">
        <v>26</v>
      </c>
      <c r="D2912" s="2" t="s">
        <v>18</v>
      </c>
      <c r="E2912" s="5">
        <v>-29374</v>
      </c>
      <c r="F2912" s="3" t="s">
        <v>204</v>
      </c>
      <c r="G2912" s="3" t="s">
        <v>28</v>
      </c>
      <c r="H2912" s="2" t="s">
        <v>65</v>
      </c>
      <c r="I2912" s="2" t="s">
        <v>7181</v>
      </c>
      <c r="J2912" s="3" t="str">
        <f>HYPERLINK("https://www.boe.es/gazeta/dias/1819/07/29/pdfs/GMD-1819-91.pdf#page=8","Abrir facsímil")</f>
        <v>Abrir facsímil</v>
      </c>
      <c r="K2912" s="3" t="s">
        <v>67</v>
      </c>
    </row>
    <row r="2913" spans="1:11" ht="42" customHeight="1">
      <c r="A2913" s="2" t="s">
        <v>7178</v>
      </c>
      <c r="B2913" s="2" t="s">
        <v>7179</v>
      </c>
      <c r="C2913" s="2" t="s">
        <v>26</v>
      </c>
      <c r="D2913" s="2" t="s">
        <v>18</v>
      </c>
      <c r="E2913" s="5">
        <v>-29337</v>
      </c>
      <c r="F2913" s="3" t="s">
        <v>1098</v>
      </c>
      <c r="G2913" s="3" t="s">
        <v>28</v>
      </c>
      <c r="H2913" s="2" t="s">
        <v>65</v>
      </c>
      <c r="I2913" s="2" t="s">
        <v>7182</v>
      </c>
      <c r="J2913" s="3" t="str">
        <f>HYPERLINK("https://www.boe.es/gazeta/dias/1819/09/04/pdfs/GMD-1819-108.pdf#page=8","Abrir facsímil")</f>
        <v>Abrir facsímil</v>
      </c>
      <c r="K2913" s="3" t="s">
        <v>67</v>
      </c>
    </row>
    <row r="2914" spans="1:11" ht="42" customHeight="1">
      <c r="A2914" s="2" t="s">
        <v>7178</v>
      </c>
      <c r="B2914" s="2" t="s">
        <v>7179</v>
      </c>
      <c r="C2914" s="2" t="s">
        <v>59</v>
      </c>
      <c r="D2914" s="2" t="s">
        <v>18</v>
      </c>
      <c r="E2914" s="5">
        <v>-29267</v>
      </c>
      <c r="F2914" s="3" t="s">
        <v>370</v>
      </c>
      <c r="G2914" s="3" t="s">
        <v>33</v>
      </c>
      <c r="H2914" s="2" t="s">
        <v>65</v>
      </c>
      <c r="I2914" s="2" t="s">
        <v>7183</v>
      </c>
      <c r="J2914" s="3" t="str">
        <f>HYPERLINK("https://www.boe.es/gazeta/dias/1819/11/13/pdfs/GMD-1819-140.pdf#page=6","Abrir facsímil")</f>
        <v>Abrir facsímil</v>
      </c>
      <c r="K2914" s="3" t="s">
        <v>67</v>
      </c>
    </row>
    <row r="2915" spans="1:11" ht="42" customHeight="1">
      <c r="A2915" s="2" t="s">
        <v>7184</v>
      </c>
      <c r="B2915" s="2" t="s">
        <v>7185</v>
      </c>
      <c r="C2915" s="2" t="s">
        <v>59</v>
      </c>
      <c r="D2915" s="2" t="s">
        <v>18</v>
      </c>
      <c r="E2915" s="5">
        <v>-29390</v>
      </c>
      <c r="F2915" s="3" t="s">
        <v>263</v>
      </c>
      <c r="G2915" s="3" t="s">
        <v>1498</v>
      </c>
      <c r="H2915" s="2" t="s">
        <v>65</v>
      </c>
      <c r="I2915" s="2" t="s">
        <v>7186</v>
      </c>
      <c r="J2915" s="3" t="str">
        <f>HYPERLINK("https://www.boe.es/gazeta/dias/1819/07/13/pdfs/GMD-1819-84.pdf#page=12","Abrir facsímil")</f>
        <v>Abrir facsímil</v>
      </c>
      <c r="K2915" s="3" t="s">
        <v>67</v>
      </c>
    </row>
    <row r="2916" spans="1:11" ht="42" customHeight="1">
      <c r="A2916" s="2" t="s">
        <v>7187</v>
      </c>
      <c r="B2916" s="2" t="s">
        <v>7188</v>
      </c>
      <c r="C2916" s="2" t="s">
        <v>63</v>
      </c>
      <c r="D2916" s="2" t="s">
        <v>43</v>
      </c>
      <c r="E2916" s="5">
        <v>-29442</v>
      </c>
      <c r="F2916" s="3" t="s">
        <v>427</v>
      </c>
      <c r="G2916" s="3" t="s">
        <v>28</v>
      </c>
      <c r="H2916" s="2" t="s">
        <v>65</v>
      </c>
      <c r="I2916" s="2" t="s">
        <v>7189</v>
      </c>
      <c r="J2916" s="3" t="str">
        <f>HYPERLINK("https://www.boe.es/gazeta/dias/1819/05/22/pdfs/GMD-1819-61.pdf#page=8","Abrir facsímil")</f>
        <v>Abrir facsímil</v>
      </c>
      <c r="K2916" s="3" t="s">
        <v>67</v>
      </c>
    </row>
    <row r="2917" spans="1:11" ht="42" customHeight="1">
      <c r="A2917" s="2" t="s">
        <v>7190</v>
      </c>
      <c r="B2917" s="2" t="s">
        <v>7191</v>
      </c>
      <c r="C2917" s="2" t="s">
        <v>26</v>
      </c>
      <c r="D2917" s="2" t="s">
        <v>18</v>
      </c>
      <c r="E2917" s="5">
        <v>-29407</v>
      </c>
      <c r="F2917" s="3" t="s">
        <v>64</v>
      </c>
      <c r="G2917" s="3" t="s">
        <v>33</v>
      </c>
      <c r="H2917" s="2" t="s">
        <v>65</v>
      </c>
      <c r="I2917" s="2" t="s">
        <v>7192</v>
      </c>
      <c r="J2917" s="3" t="str">
        <f>HYPERLINK("https://www.boe.es/gazeta/dias/1819/06/26/pdfs/GMD-1819-77.pdf#page=6","Abrir facsímil")</f>
        <v>Abrir facsímil</v>
      </c>
      <c r="K2917" s="3" t="s">
        <v>67</v>
      </c>
    </row>
    <row r="2918" spans="1:11" ht="42" customHeight="1">
      <c r="A2918" s="2" t="s">
        <v>7193</v>
      </c>
      <c r="B2918" s="2" t="s">
        <v>7194</v>
      </c>
      <c r="C2918" s="2" t="s">
        <v>63</v>
      </c>
      <c r="D2918" s="2" t="s">
        <v>43</v>
      </c>
      <c r="E2918" s="5">
        <v>-29523</v>
      </c>
      <c r="F2918" s="3" t="s">
        <v>436</v>
      </c>
      <c r="G2918" s="3" t="s">
        <v>28</v>
      </c>
      <c r="H2918" s="2" t="s">
        <v>21</v>
      </c>
      <c r="I2918" s="2" t="s">
        <v>7195</v>
      </c>
      <c r="J2918" s="3" t="str">
        <f>HYPERLINK("https://www.boe.es/gazeta/dias/1819/03/02/pdfs/GMD-1819-26.pdf#page=8","Abrir facsímil")</f>
        <v>Abrir facsímil</v>
      </c>
      <c r="K2918" s="3" t="s">
        <v>23</v>
      </c>
    </row>
    <row r="2919" spans="1:11" ht="42" customHeight="1">
      <c r="A2919" s="2" t="s">
        <v>7193</v>
      </c>
      <c r="B2919" s="2" t="s">
        <v>7194</v>
      </c>
      <c r="C2919" s="2" t="s">
        <v>215</v>
      </c>
      <c r="D2919" s="2" t="s">
        <v>18</v>
      </c>
      <c r="E2919" s="5">
        <v>-29362</v>
      </c>
      <c r="F2919" s="3" t="s">
        <v>803</v>
      </c>
      <c r="G2919" s="3" t="s">
        <v>28</v>
      </c>
      <c r="H2919" s="2" t="s">
        <v>21</v>
      </c>
      <c r="I2919" s="2" t="s">
        <v>7196</v>
      </c>
      <c r="J2919" s="3" t="str">
        <f>HYPERLINK("https://www.boe.es/gazeta/dias/1819/08/10/pdfs/GMD-1819-96.pdf#page=8","Abrir facsímil")</f>
        <v>Abrir facsímil</v>
      </c>
      <c r="K2919" s="3" t="s">
        <v>23</v>
      </c>
    </row>
    <row r="2920" spans="1:11" ht="42" customHeight="1">
      <c r="A2920" s="2" t="s">
        <v>7197</v>
      </c>
      <c r="B2920" s="2" t="s">
        <v>7198</v>
      </c>
      <c r="C2920" s="2" t="s">
        <v>59</v>
      </c>
      <c r="D2920" s="2" t="s">
        <v>18</v>
      </c>
      <c r="E2920" s="5">
        <v>-29386</v>
      </c>
      <c r="F2920" s="3" t="s">
        <v>568</v>
      </c>
      <c r="G2920" s="3" t="s">
        <v>38</v>
      </c>
      <c r="H2920" s="2" t="s">
        <v>65</v>
      </c>
      <c r="I2920" s="2" t="s">
        <v>7199</v>
      </c>
      <c r="J2920" s="3" t="str">
        <f>HYPERLINK("https://www.boe.es/gazeta/dias/1819/07/17/pdfs/GMD-1819-86.pdf#page=5","Abrir facsímil")</f>
        <v>Abrir facsímil</v>
      </c>
      <c r="K2920" s="3" t="s">
        <v>67</v>
      </c>
    </row>
    <row r="2921" spans="1:11" ht="42" customHeight="1">
      <c r="A2921" s="2" t="s">
        <v>7200</v>
      </c>
      <c r="B2921" s="2" t="s">
        <v>7201</v>
      </c>
      <c r="C2921" s="2" t="s">
        <v>63</v>
      </c>
      <c r="D2921" s="2" t="s">
        <v>43</v>
      </c>
      <c r="E2921" s="5">
        <v>-29449</v>
      </c>
      <c r="F2921" s="3" t="s">
        <v>771</v>
      </c>
      <c r="G2921" s="3" t="s">
        <v>55</v>
      </c>
      <c r="H2921" s="2" t="s">
        <v>65</v>
      </c>
      <c r="I2921" s="2" t="s">
        <v>7202</v>
      </c>
      <c r="J2921" s="3" t="str">
        <f>HYPERLINK("https://www.boe.es/gazeta/dias/1819/05/15/pdfs/GMD-1819-58.pdf#page=7","Abrir facsímil")</f>
        <v>Abrir facsímil</v>
      </c>
      <c r="K2921" s="3" t="s">
        <v>67</v>
      </c>
    </row>
    <row r="2922" spans="1:11" ht="42" customHeight="1">
      <c r="A2922" s="2" t="s">
        <v>7200</v>
      </c>
      <c r="B2922" s="2" t="s">
        <v>7201</v>
      </c>
      <c r="C2922" s="2" t="s">
        <v>63</v>
      </c>
      <c r="D2922" s="2" t="s">
        <v>43</v>
      </c>
      <c r="E2922" s="5">
        <v>-29306</v>
      </c>
      <c r="F2922" s="3" t="s">
        <v>303</v>
      </c>
      <c r="G2922" s="3" t="s">
        <v>55</v>
      </c>
      <c r="H2922" s="2" t="s">
        <v>65</v>
      </c>
      <c r="I2922" s="2" t="s">
        <v>7203</v>
      </c>
      <c r="J2922" s="3" t="str">
        <f>HYPERLINK("https://www.boe.es/gazeta/dias/1819/10/05/pdfs/GMD-1819-122.pdf#page=7","Abrir facsímil")</f>
        <v>Abrir facsímil</v>
      </c>
      <c r="K2922" s="3" t="s">
        <v>67</v>
      </c>
    </row>
    <row r="2923" spans="1:11" ht="42" customHeight="1">
      <c r="A2923" s="2" t="s">
        <v>7204</v>
      </c>
      <c r="B2923" s="2" t="s">
        <v>7205</v>
      </c>
      <c r="C2923" s="2" t="s">
        <v>59</v>
      </c>
      <c r="D2923" s="2" t="s">
        <v>18</v>
      </c>
      <c r="E2923" s="5">
        <v>-29451</v>
      </c>
      <c r="F2923" s="3" t="s">
        <v>208</v>
      </c>
      <c r="G2923" s="3" t="s">
        <v>55</v>
      </c>
      <c r="H2923" s="2" t="s">
        <v>65</v>
      </c>
      <c r="I2923" s="2" t="s">
        <v>7206</v>
      </c>
      <c r="J2923" s="3" t="str">
        <f>HYPERLINK("https://www.boe.es/gazeta/dias/1819/05/13/pdfs/GMD-1819-57.pdf#page=7","Abrir facsímil")</f>
        <v>Abrir facsímil</v>
      </c>
      <c r="K2923" s="3" t="s">
        <v>67</v>
      </c>
    </row>
    <row r="2924" spans="1:11" ht="42" customHeight="1">
      <c r="A2924" s="2" t="s">
        <v>7207</v>
      </c>
      <c r="B2924" s="2" t="s">
        <v>7208</v>
      </c>
      <c r="C2924" s="2" t="s">
        <v>63</v>
      </c>
      <c r="D2924" s="2" t="s">
        <v>43</v>
      </c>
      <c r="E2924" s="5">
        <v>-29488</v>
      </c>
      <c r="F2924" s="3" t="s">
        <v>27</v>
      </c>
      <c r="G2924" s="3" t="s">
        <v>55</v>
      </c>
      <c r="H2924" s="2" t="s">
        <v>65</v>
      </c>
      <c r="I2924" s="2" t="s">
        <v>7209</v>
      </c>
      <c r="J2924" s="3" t="str">
        <f>HYPERLINK("https://www.boe.es/gazeta/dias/1819/04/06/pdfs/GMD-1819-41.pdf#page=7","Abrir facsímil")</f>
        <v>Abrir facsímil</v>
      </c>
      <c r="K2924" s="3" t="s">
        <v>67</v>
      </c>
    </row>
    <row r="2925" spans="1:11" ht="42" customHeight="1">
      <c r="A2925" s="2" t="s">
        <v>7210</v>
      </c>
      <c r="B2925" s="2" t="s">
        <v>7211</v>
      </c>
      <c r="C2925" s="2" t="s">
        <v>136</v>
      </c>
      <c r="D2925" s="2" t="s">
        <v>18</v>
      </c>
      <c r="E2925" s="5">
        <v>-29344</v>
      </c>
      <c r="F2925" s="3" t="s">
        <v>1865</v>
      </c>
      <c r="G2925" s="3" t="s">
        <v>28</v>
      </c>
      <c r="H2925" s="2" t="s">
        <v>65</v>
      </c>
      <c r="I2925" s="2" t="s">
        <v>7212</v>
      </c>
      <c r="J2925" s="3" t="str">
        <f>HYPERLINK("https://www.boe.es/gazeta/dias/1819/08/28/pdfs/GMD-1819-104.pdf#page=8","Abrir facsímil")</f>
        <v>Abrir facsímil</v>
      </c>
      <c r="K2925" s="3" t="s">
        <v>67</v>
      </c>
    </row>
    <row r="2926" spans="1:11" ht="42" customHeight="1">
      <c r="A2926" s="2" t="s">
        <v>7213</v>
      </c>
      <c r="B2926" s="2" t="s">
        <v>7213</v>
      </c>
      <c r="C2926" s="2" t="s">
        <v>59</v>
      </c>
      <c r="D2926" s="2" t="s">
        <v>18</v>
      </c>
      <c r="E2926" s="5">
        <v>-29437</v>
      </c>
      <c r="F2926" s="3" t="s">
        <v>1147</v>
      </c>
      <c r="G2926" s="3" t="s">
        <v>55</v>
      </c>
      <c r="H2926" s="2" t="s">
        <v>65</v>
      </c>
      <c r="I2926" s="2" t="s">
        <v>7214</v>
      </c>
      <c r="J2926" s="3" t="str">
        <f>HYPERLINK("https://www.boe.es/gazeta/dias/1819/05/27/pdfs/GMD-1819-63.pdf#page=7","Abrir facsímil")</f>
        <v>Abrir facsímil</v>
      </c>
      <c r="K2926" s="3" t="s">
        <v>67</v>
      </c>
    </row>
    <row r="2927" spans="1:11" ht="42" customHeight="1">
      <c r="A2927" s="2" t="s">
        <v>7213</v>
      </c>
      <c r="B2927" s="2" t="s">
        <v>7213</v>
      </c>
      <c r="C2927" s="2" t="s">
        <v>80</v>
      </c>
      <c r="D2927" s="2" t="s">
        <v>81</v>
      </c>
      <c r="E2927" s="5">
        <v>-29290</v>
      </c>
      <c r="F2927" s="3" t="s">
        <v>622</v>
      </c>
      <c r="G2927" s="3" t="s">
        <v>55</v>
      </c>
      <c r="H2927" s="2" t="s">
        <v>65</v>
      </c>
      <c r="I2927" s="2" t="s">
        <v>7215</v>
      </c>
      <c r="J2927" s="3" t="str">
        <f>HYPERLINK("https://www.boe.es/gazeta/dias/1819/10/21/pdfs/GMD-1819-129.pdf#page=7","Abrir facsímil")</f>
        <v>Abrir facsímil</v>
      </c>
      <c r="K2927" s="3" t="s">
        <v>67</v>
      </c>
    </row>
    <row r="2928" spans="1:11" ht="42" customHeight="1">
      <c r="A2928" s="2" t="s">
        <v>7216</v>
      </c>
      <c r="B2928" s="2" t="s">
        <v>7216</v>
      </c>
      <c r="C2928" s="2" t="s">
        <v>80</v>
      </c>
      <c r="D2928" s="2" t="s">
        <v>81</v>
      </c>
      <c r="E2928" s="5">
        <v>-29442</v>
      </c>
      <c r="F2928" s="3" t="s">
        <v>427</v>
      </c>
      <c r="G2928" s="3" t="s">
        <v>296</v>
      </c>
      <c r="H2928" s="2" t="s">
        <v>65</v>
      </c>
      <c r="I2928" s="2" t="s">
        <v>7217</v>
      </c>
      <c r="J2928" s="3" t="str">
        <f>HYPERLINK("https://www.boe.es/gazeta/dias/1819/05/22/pdfs/GMD-1819-61.pdf#page=4","Abrir facsímil")</f>
        <v>Abrir facsímil</v>
      </c>
      <c r="K2928" s="3" t="s">
        <v>67</v>
      </c>
    </row>
    <row r="2929" spans="1:11" ht="42" customHeight="1">
      <c r="A2929" s="2" t="s">
        <v>7218</v>
      </c>
      <c r="B2929" s="2" t="s">
        <v>7218</v>
      </c>
      <c r="C2929" s="2" t="s">
        <v>80</v>
      </c>
      <c r="D2929" s="2" t="s">
        <v>81</v>
      </c>
      <c r="E2929" s="5">
        <v>-29381</v>
      </c>
      <c r="F2929" s="3" t="s">
        <v>736</v>
      </c>
      <c r="G2929" s="3" t="s">
        <v>102</v>
      </c>
      <c r="H2929" s="2" t="s">
        <v>65</v>
      </c>
      <c r="I2929" s="2" t="s">
        <v>7219</v>
      </c>
      <c r="J2929" s="3" t="str">
        <f>HYPERLINK("https://www.boe.es/gazeta/dias/1819/07/22/pdfs/GMD-1819-88.pdf#page=3","Abrir facsímil")</f>
        <v>Abrir facsímil</v>
      </c>
      <c r="K2929" s="3" t="s">
        <v>67</v>
      </c>
    </row>
    <row r="2930" spans="1:11" ht="42" customHeight="1">
      <c r="A2930" s="2" t="s">
        <v>7220</v>
      </c>
      <c r="B2930" s="2" t="s">
        <v>7221</v>
      </c>
      <c r="C2930" s="2" t="s">
        <v>59</v>
      </c>
      <c r="D2930" s="2" t="s">
        <v>18</v>
      </c>
      <c r="E2930" s="5">
        <v>-29355</v>
      </c>
      <c r="F2930" s="3" t="s">
        <v>347</v>
      </c>
      <c r="G2930" s="3" t="s">
        <v>348</v>
      </c>
      <c r="H2930" s="2" t="s">
        <v>21</v>
      </c>
      <c r="I2930" s="2" t="s">
        <v>7222</v>
      </c>
      <c r="J2930" s="3" t="str">
        <f>HYPERLINK("https://www.boe.es/gazeta/dias/1819/08/17/pdfs/GMD-1819-99.pdf#page=6","Abrir facsímil")</f>
        <v>Abrir facsímil</v>
      </c>
      <c r="K2930" s="3" t="s">
        <v>23</v>
      </c>
    </row>
    <row r="2931" spans="1:11" ht="42" customHeight="1">
      <c r="A2931" s="2" t="s">
        <v>7223</v>
      </c>
      <c r="B2931" s="2" t="s">
        <v>7223</v>
      </c>
      <c r="C2931" s="2" t="s">
        <v>80</v>
      </c>
      <c r="D2931" s="2" t="s">
        <v>81</v>
      </c>
      <c r="E2931" s="5">
        <v>-29477</v>
      </c>
      <c r="F2931" s="3" t="s">
        <v>789</v>
      </c>
      <c r="G2931" s="3" t="s">
        <v>33</v>
      </c>
      <c r="H2931" s="2" t="s">
        <v>65</v>
      </c>
      <c r="I2931" s="2" t="s">
        <v>7224</v>
      </c>
      <c r="J2931" s="3" t="str">
        <f>HYPERLINK("https://www.boe.es/gazeta/dias/1819/04/17/pdfs/GMD-1819-46.pdf#page=6","Abrir facsímil")</f>
        <v>Abrir facsímil</v>
      </c>
      <c r="K2931" s="3" t="s">
        <v>67</v>
      </c>
    </row>
    <row r="2932" spans="1:11" ht="42" customHeight="1">
      <c r="A2932" s="2" t="s">
        <v>7223</v>
      </c>
      <c r="B2932" s="2" t="s">
        <v>7223</v>
      </c>
      <c r="C2932" s="2" t="s">
        <v>246</v>
      </c>
      <c r="D2932" s="2" t="s">
        <v>18</v>
      </c>
      <c r="E2932" s="5">
        <v>-29460</v>
      </c>
      <c r="F2932" s="3" t="s">
        <v>1534</v>
      </c>
      <c r="G2932" s="3" t="s">
        <v>296</v>
      </c>
      <c r="H2932" s="2" t="s">
        <v>65</v>
      </c>
      <c r="I2932" s="2" t="s">
        <v>7225</v>
      </c>
      <c r="J2932" s="3" t="str">
        <f>HYPERLINK("https://www.boe.es/gazeta/dias/1819/05/04/pdfs/GMD-1819-53.pdf#page=4","Abrir facsímil")</f>
        <v>Abrir facsímil</v>
      </c>
      <c r="K2932" s="3" t="s">
        <v>67</v>
      </c>
    </row>
    <row r="2933" spans="1:11" ht="42" customHeight="1">
      <c r="A2933" s="2" t="s">
        <v>7223</v>
      </c>
      <c r="B2933" s="2" t="s">
        <v>7223</v>
      </c>
      <c r="C2933" s="2" t="s">
        <v>63</v>
      </c>
      <c r="D2933" s="2" t="s">
        <v>43</v>
      </c>
      <c r="E2933" s="5">
        <v>-29442</v>
      </c>
      <c r="F2933" s="3" t="s">
        <v>427</v>
      </c>
      <c r="G2933" s="3" t="s">
        <v>55</v>
      </c>
      <c r="H2933" s="2" t="s">
        <v>65</v>
      </c>
      <c r="I2933" s="2" t="s">
        <v>7226</v>
      </c>
      <c r="J2933" s="3" t="str">
        <f>HYPERLINK("https://www.boe.es/gazeta/dias/1819/05/22/pdfs/GMD-1819-61.pdf#page=7","Abrir facsímil")</f>
        <v>Abrir facsímil</v>
      </c>
      <c r="K2933" s="3" t="s">
        <v>67</v>
      </c>
    </row>
    <row r="2934" spans="1:11" ht="42" customHeight="1">
      <c r="A2934" s="2" t="s">
        <v>7223</v>
      </c>
      <c r="B2934" s="2" t="s">
        <v>7223</v>
      </c>
      <c r="C2934" s="2" t="s">
        <v>80</v>
      </c>
      <c r="D2934" s="2" t="s">
        <v>454</v>
      </c>
      <c r="E2934" s="5">
        <v>-29324</v>
      </c>
      <c r="F2934" s="3" t="s">
        <v>914</v>
      </c>
      <c r="G2934" s="3" t="s">
        <v>259</v>
      </c>
      <c r="H2934" s="2" t="s">
        <v>65</v>
      </c>
      <c r="I2934" s="2" t="s">
        <v>7227</v>
      </c>
      <c r="J2934" s="3" t="str">
        <f>HYPERLINK("https://www.boe.es/gazeta/dias/1819/09/17/pdfs/GMD-1819-114E.pdf#page=2","Abrir facsímil")</f>
        <v>Abrir facsímil</v>
      </c>
      <c r="K2934" s="3" t="s">
        <v>67</v>
      </c>
    </row>
    <row r="2935" spans="1:11" ht="42" customHeight="1">
      <c r="A2935" s="2" t="s">
        <v>7223</v>
      </c>
      <c r="B2935" s="2" t="s">
        <v>7223</v>
      </c>
      <c r="C2935" s="2" t="s">
        <v>80</v>
      </c>
      <c r="D2935" s="2" t="s">
        <v>81</v>
      </c>
      <c r="E2935" s="5">
        <v>-29243</v>
      </c>
      <c r="F2935" s="3" t="s">
        <v>2099</v>
      </c>
      <c r="G2935" s="3" t="s">
        <v>4722</v>
      </c>
      <c r="H2935" s="2" t="s">
        <v>65</v>
      </c>
      <c r="I2935" s="2" t="s">
        <v>7228</v>
      </c>
      <c r="J2935" s="3" t="str">
        <f>HYPERLINK("https://www.boe.es/gazeta/dias/1819/12/07/pdfs/GMD-1819-150.pdf#page=5","Abrir facsímil")</f>
        <v>Abrir facsímil</v>
      </c>
      <c r="K2935" s="3" t="s">
        <v>67</v>
      </c>
    </row>
    <row r="2936" spans="1:11" ht="42" customHeight="1">
      <c r="A2936" s="2" t="s">
        <v>7229</v>
      </c>
      <c r="B2936" s="2" t="s">
        <v>7230</v>
      </c>
      <c r="C2936" s="2" t="s">
        <v>59</v>
      </c>
      <c r="D2936" s="2" t="s">
        <v>18</v>
      </c>
      <c r="E2936" s="5">
        <v>-29507</v>
      </c>
      <c r="F2936" s="3" t="s">
        <v>1928</v>
      </c>
      <c r="G2936" s="3" t="s">
        <v>55</v>
      </c>
      <c r="H2936" s="2" t="s">
        <v>65</v>
      </c>
      <c r="I2936" s="2" t="s">
        <v>7231</v>
      </c>
      <c r="J2936" s="3" t="str">
        <f>HYPERLINK("https://www.boe.es/gazeta/dias/1819/03/18/pdfs/GMD-1819-33.pdf#page=7","Abrir facsímil")</f>
        <v>Abrir facsímil</v>
      </c>
      <c r="K2936" s="3" t="s">
        <v>67</v>
      </c>
    </row>
    <row r="2937" spans="1:11" ht="42" customHeight="1">
      <c r="A2937" s="2" t="s">
        <v>7232</v>
      </c>
      <c r="B2937" s="2" t="s">
        <v>7233</v>
      </c>
      <c r="C2937" s="2" t="s">
        <v>80</v>
      </c>
      <c r="D2937" s="2" t="s">
        <v>454</v>
      </c>
      <c r="E2937" s="5">
        <v>-29287</v>
      </c>
      <c r="F2937" s="3" t="s">
        <v>455</v>
      </c>
      <c r="G2937" s="3" t="s">
        <v>481</v>
      </c>
      <c r="H2937" s="2" t="s">
        <v>65</v>
      </c>
      <c r="I2937" s="2" t="s">
        <v>7234</v>
      </c>
      <c r="J2937" s="3" t="str">
        <f>HYPERLINK("https://www.boe.es/gazeta/dias/1819/10/24/pdfs/GMD-1819-131E.pdf#page=8","Abrir facsímil")</f>
        <v>Abrir facsímil</v>
      </c>
      <c r="K2937" s="3" t="s">
        <v>67</v>
      </c>
    </row>
    <row r="2938" spans="1:11" ht="42" customHeight="1">
      <c r="A2938" s="2" t="s">
        <v>7235</v>
      </c>
      <c r="B2938" s="2" t="s">
        <v>7236</v>
      </c>
      <c r="C2938" s="2" t="s">
        <v>63</v>
      </c>
      <c r="D2938" s="2" t="s">
        <v>43</v>
      </c>
      <c r="E2938" s="5">
        <v>-29358</v>
      </c>
      <c r="F2938" s="3" t="s">
        <v>170</v>
      </c>
      <c r="G2938" s="3" t="s">
        <v>28</v>
      </c>
      <c r="H2938" s="2" t="s">
        <v>65</v>
      </c>
      <c r="I2938" s="2" t="s">
        <v>7237</v>
      </c>
      <c r="J2938" s="3" t="str">
        <f>HYPERLINK("https://www.boe.es/gazeta/dias/1819/08/14/pdfs/GMD-1819-98.pdf#page=8","Abrir facsímil")</f>
        <v>Abrir facsímil</v>
      </c>
      <c r="K2938" s="3" t="s">
        <v>67</v>
      </c>
    </row>
    <row r="2939" spans="1:11" ht="42" customHeight="1">
      <c r="A2939" s="2" t="s">
        <v>7238</v>
      </c>
      <c r="B2939" s="2" t="s">
        <v>7239</v>
      </c>
      <c r="C2939" s="2" t="s">
        <v>17</v>
      </c>
      <c r="D2939" s="2" t="s">
        <v>18</v>
      </c>
      <c r="E2939" s="5">
        <v>-29421</v>
      </c>
      <c r="F2939" s="3" t="s">
        <v>1972</v>
      </c>
      <c r="G2939" s="3" t="s">
        <v>2551</v>
      </c>
      <c r="H2939" s="2" t="s">
        <v>65</v>
      </c>
      <c r="I2939" s="2" t="s">
        <v>7240</v>
      </c>
      <c r="J2939" s="3" t="str">
        <f>HYPERLINK("https://www.boe.es/gazeta/dias/1819/06/12/pdfs/GMD-1819-70.pdf#page=8","Abrir facsímil")</f>
        <v>Abrir facsímil</v>
      </c>
      <c r="K2939" s="3" t="s">
        <v>67</v>
      </c>
    </row>
    <row r="2940" spans="1:11" ht="42" customHeight="1">
      <c r="A2940" s="2" t="s">
        <v>7241</v>
      </c>
      <c r="B2940" s="2" t="s">
        <v>7242</v>
      </c>
      <c r="C2940" s="2" t="s">
        <v>63</v>
      </c>
      <c r="D2940" s="2" t="s">
        <v>43</v>
      </c>
      <c r="E2940" s="5">
        <v>-29481</v>
      </c>
      <c r="F2940" s="3" t="s">
        <v>1504</v>
      </c>
      <c r="G2940" s="3" t="s">
        <v>28</v>
      </c>
      <c r="H2940" s="2" t="s">
        <v>21</v>
      </c>
      <c r="I2940" s="2" t="s">
        <v>7243</v>
      </c>
      <c r="J2940" s="3" t="str">
        <f>HYPERLINK("https://www.boe.es/gazeta/dias/1819/04/13/pdfs/GMD-1819-44.pdf#page=8","Abrir facsímil")</f>
        <v>Abrir facsímil</v>
      </c>
      <c r="K2940" s="3" t="s">
        <v>23</v>
      </c>
    </row>
    <row r="2941" spans="1:11" ht="42" customHeight="1">
      <c r="A2941" s="2" t="s">
        <v>7244</v>
      </c>
      <c r="B2941" s="2" t="s">
        <v>7244</v>
      </c>
      <c r="C2941" s="2" t="s">
        <v>80</v>
      </c>
      <c r="D2941" s="2" t="s">
        <v>81</v>
      </c>
      <c r="E2941" s="5">
        <v>-29502</v>
      </c>
      <c r="F2941" s="3" t="s">
        <v>86</v>
      </c>
      <c r="G2941" s="3" t="s">
        <v>2658</v>
      </c>
      <c r="H2941" s="2" t="s">
        <v>65</v>
      </c>
      <c r="I2941" s="2" t="s">
        <v>7245</v>
      </c>
      <c r="J2941" s="3" t="str">
        <f>HYPERLINK("https://www.boe.es/gazeta/dias/1819/03/23/pdfs/GMD-1819-35.pdf#page=4","Abrir facsímil")</f>
        <v>Abrir facsímil</v>
      </c>
      <c r="K2941" s="3" t="s">
        <v>67</v>
      </c>
    </row>
    <row r="2942" spans="1:11" ht="42" customHeight="1">
      <c r="A2942" s="2" t="s">
        <v>7246</v>
      </c>
      <c r="B2942" s="2" t="s">
        <v>7247</v>
      </c>
      <c r="C2942" s="2" t="s">
        <v>80</v>
      </c>
      <c r="D2942" s="2" t="s">
        <v>81</v>
      </c>
      <c r="E2942" s="5">
        <v>-29575</v>
      </c>
      <c r="F2942" s="3" t="s">
        <v>77</v>
      </c>
      <c r="G2942" s="3" t="s">
        <v>55</v>
      </c>
      <c r="H2942" s="2" t="s">
        <v>65</v>
      </c>
      <c r="I2942" s="2" t="s">
        <v>7248</v>
      </c>
      <c r="J2942" s="3" t="str">
        <f>HYPERLINK("https://www.boe.es/gazeta/dias/1819/01/09/pdfs/GMD-1819-4.pdf#page=7","Abrir facsímil")</f>
        <v>Abrir facsímil</v>
      </c>
      <c r="K2942" s="3" t="s">
        <v>67</v>
      </c>
    </row>
    <row r="2943" spans="1:11" ht="42" customHeight="1">
      <c r="A2943" s="2" t="s">
        <v>7249</v>
      </c>
      <c r="B2943" s="2" t="s">
        <v>7250</v>
      </c>
      <c r="C2943" s="2" t="s">
        <v>59</v>
      </c>
      <c r="D2943" s="2" t="s">
        <v>18</v>
      </c>
      <c r="E2943" s="5">
        <v>-29276</v>
      </c>
      <c r="F2943" s="3" t="s">
        <v>54</v>
      </c>
      <c r="G2943" s="3" t="s">
        <v>284</v>
      </c>
      <c r="H2943" s="2" t="s">
        <v>21</v>
      </c>
      <c r="I2943" s="2" t="s">
        <v>7251</v>
      </c>
      <c r="J2943" s="3" t="str">
        <f>HYPERLINK("https://www.boe.es/gazeta/dias/1819/11/04/pdfs/GMD-1819-136.pdf#page=6","Abrir facsímil")</f>
        <v>Abrir facsímil</v>
      </c>
      <c r="K2943" s="3" t="s">
        <v>23</v>
      </c>
    </row>
    <row r="2944" spans="1:11" ht="42" customHeight="1">
      <c r="A2944" s="2" t="s">
        <v>7252</v>
      </c>
      <c r="B2944" s="2" t="s">
        <v>7253</v>
      </c>
      <c r="C2944" s="2" t="s">
        <v>59</v>
      </c>
      <c r="D2944" s="2" t="s">
        <v>18</v>
      </c>
      <c r="E2944" s="5">
        <v>-29421</v>
      </c>
      <c r="F2944" s="3" t="s">
        <v>1972</v>
      </c>
      <c r="G2944" s="3" t="s">
        <v>2551</v>
      </c>
      <c r="H2944" s="2" t="s">
        <v>65</v>
      </c>
      <c r="I2944" s="2" t="s">
        <v>7254</v>
      </c>
      <c r="J2944" s="3" t="str">
        <f>HYPERLINK("https://www.boe.es/gazeta/dias/1819/06/12/pdfs/GMD-1819-70.pdf#page=8","Abrir facsímil")</f>
        <v>Abrir facsímil</v>
      </c>
      <c r="K2944" s="3" t="s">
        <v>67</v>
      </c>
    </row>
    <row r="2945" spans="1:11" ht="42" customHeight="1">
      <c r="A2945" s="2" t="s">
        <v>7255</v>
      </c>
      <c r="B2945" s="2" t="s">
        <v>7256</v>
      </c>
      <c r="C2945" s="2" t="s">
        <v>59</v>
      </c>
      <c r="D2945" s="2" t="s">
        <v>18</v>
      </c>
      <c r="E2945" s="5">
        <v>-29416</v>
      </c>
      <c r="F2945" s="3" t="s">
        <v>251</v>
      </c>
      <c r="G2945" s="3" t="s">
        <v>28</v>
      </c>
      <c r="H2945" s="2" t="s">
        <v>65</v>
      </c>
      <c r="I2945" s="2" t="s">
        <v>7257</v>
      </c>
      <c r="J2945" s="3" t="str">
        <f>HYPERLINK("https://www.boe.es/gazeta/dias/1819/06/17/pdfs/GMD-1819-73.pdf#page=8","Abrir facsímil")</f>
        <v>Abrir facsímil</v>
      </c>
      <c r="K2945" s="3" t="s">
        <v>67</v>
      </c>
    </row>
    <row r="2946" spans="1:11" ht="42" customHeight="1">
      <c r="A2946" s="2" t="s">
        <v>7258</v>
      </c>
      <c r="B2946" s="2" t="s">
        <v>7259</v>
      </c>
      <c r="C2946" s="2" t="s">
        <v>59</v>
      </c>
      <c r="D2946" s="2" t="s">
        <v>18</v>
      </c>
      <c r="E2946" s="5">
        <v>-29376</v>
      </c>
      <c r="F2946" s="3" t="s">
        <v>332</v>
      </c>
      <c r="G2946" s="3" t="s">
        <v>2560</v>
      </c>
      <c r="H2946" s="2" t="s">
        <v>65</v>
      </c>
      <c r="I2946" s="2" t="s">
        <v>7260</v>
      </c>
      <c r="J2946" s="3" t="str">
        <f>HYPERLINK("https://www.boe.es/gazeta/dias/1819/07/27/pdfs/GMD-1819-90.pdf#page=7","Abrir facsímil")</f>
        <v>Abrir facsímil</v>
      </c>
      <c r="K2946" s="3" t="s">
        <v>67</v>
      </c>
    </row>
    <row r="2947" spans="1:11" ht="42" customHeight="1">
      <c r="A2947" s="2" t="s">
        <v>7261</v>
      </c>
      <c r="B2947" s="2" t="s">
        <v>7262</v>
      </c>
      <c r="C2947" s="2" t="s">
        <v>80</v>
      </c>
      <c r="D2947" s="2" t="s">
        <v>81</v>
      </c>
      <c r="E2947" s="5">
        <v>-29285</v>
      </c>
      <c r="F2947" s="3" t="s">
        <v>578</v>
      </c>
      <c r="G2947" s="3" t="s">
        <v>33</v>
      </c>
      <c r="H2947" s="2" t="s">
        <v>21</v>
      </c>
      <c r="I2947" s="2" t="s">
        <v>7263</v>
      </c>
      <c r="J2947" s="3" t="str">
        <f>HYPERLINK("https://www.boe.es/gazeta/dias/1819/10/26/pdfs/GMD-1819-132.pdf#page=6","Abrir facsímil")</f>
        <v>Abrir facsímil</v>
      </c>
      <c r="K2947" s="3" t="s">
        <v>23</v>
      </c>
    </row>
    <row r="2948" spans="1:11" ht="42" customHeight="1">
      <c r="A2948" s="2" t="s">
        <v>7264</v>
      </c>
      <c r="B2948" s="2" t="s">
        <v>7265</v>
      </c>
      <c r="C2948" s="2" t="s">
        <v>80</v>
      </c>
      <c r="D2948" s="2" t="s">
        <v>454</v>
      </c>
      <c r="E2948" s="5">
        <v>-29287</v>
      </c>
      <c r="F2948" s="3" t="s">
        <v>455</v>
      </c>
      <c r="G2948" s="3" t="s">
        <v>1113</v>
      </c>
      <c r="H2948" s="2" t="s">
        <v>65</v>
      </c>
      <c r="I2948" s="2" t="s">
        <v>7266</v>
      </c>
      <c r="J2948" s="3" t="str">
        <f>HYPERLINK("https://www.boe.es/gazeta/dias/1819/10/24/pdfs/GMD-1819-131E.pdf#page=7","Abrir facsímil")</f>
        <v>Abrir facsímil</v>
      </c>
      <c r="K2948" s="3" t="s">
        <v>67</v>
      </c>
    </row>
    <row r="2949" spans="1:11" ht="42" customHeight="1">
      <c r="A2949" s="2" t="s">
        <v>7267</v>
      </c>
      <c r="B2949" s="2" t="s">
        <v>7268</v>
      </c>
      <c r="C2949" s="2" t="s">
        <v>80</v>
      </c>
      <c r="D2949" s="2" t="s">
        <v>81</v>
      </c>
      <c r="E2949" s="5">
        <v>-29311</v>
      </c>
      <c r="F2949" s="3" t="s">
        <v>678</v>
      </c>
      <c r="G2949" s="3" t="s">
        <v>28</v>
      </c>
      <c r="H2949" s="2" t="s">
        <v>65</v>
      </c>
      <c r="I2949" s="2" t="s">
        <v>7269</v>
      </c>
      <c r="J2949" s="3" t="str">
        <f>HYPERLINK("https://www.boe.es/gazeta/dias/1819/09/30/pdfs/GMD-1819-120.pdf#page=8","Abrir facsímil")</f>
        <v>Abrir facsímil</v>
      </c>
      <c r="K2949" s="3" t="s">
        <v>67</v>
      </c>
    </row>
    <row r="2950" spans="1:11" ht="42" customHeight="1">
      <c r="A2950" s="2" t="s">
        <v>7270</v>
      </c>
      <c r="B2950" s="2" t="s">
        <v>7270</v>
      </c>
      <c r="C2950" s="2" t="s">
        <v>80</v>
      </c>
      <c r="D2950" s="2" t="s">
        <v>81</v>
      </c>
      <c r="E2950" s="5">
        <v>-29575</v>
      </c>
      <c r="F2950" s="3" t="s">
        <v>77</v>
      </c>
      <c r="G2950" s="3" t="s">
        <v>259</v>
      </c>
      <c r="H2950" s="2" t="s">
        <v>65</v>
      </c>
      <c r="I2950" s="2" t="s">
        <v>7271</v>
      </c>
      <c r="J2950" s="3" t="str">
        <f>HYPERLINK("https://www.boe.es/gazeta/dias/1819/01/09/pdfs/GMD-1819-4.pdf#page=2","Abrir facsímil")</f>
        <v>Abrir facsímil</v>
      </c>
      <c r="K2950" s="3" t="s">
        <v>67</v>
      </c>
    </row>
    <row r="2951" spans="1:11" ht="42" customHeight="1">
      <c r="A2951" s="2" t="s">
        <v>7272</v>
      </c>
      <c r="B2951" s="2" t="s">
        <v>7273</v>
      </c>
      <c r="C2951" s="2" t="s">
        <v>26</v>
      </c>
      <c r="D2951" s="2" t="s">
        <v>18</v>
      </c>
      <c r="E2951" s="5">
        <v>-29537</v>
      </c>
      <c r="F2951" s="3" t="s">
        <v>593</v>
      </c>
      <c r="G2951" s="3" t="s">
        <v>28</v>
      </c>
      <c r="H2951" s="2" t="s">
        <v>65</v>
      </c>
      <c r="I2951" s="2" t="s">
        <v>7274</v>
      </c>
      <c r="J2951" s="3" t="str">
        <f>HYPERLINK("https://www.boe.es/gazeta/dias/1819/02/16/pdfs/GMD-1819-20.pdf#page=8","Abrir facsímil")</f>
        <v>Abrir facsímil</v>
      </c>
      <c r="K2951" s="3" t="s">
        <v>67</v>
      </c>
    </row>
    <row r="2952" spans="1:11" ht="42" customHeight="1">
      <c r="A2952" s="2" t="s">
        <v>7275</v>
      </c>
      <c r="B2952" s="2" t="s">
        <v>7276</v>
      </c>
      <c r="C2952" s="2" t="s">
        <v>80</v>
      </c>
      <c r="D2952" s="2" t="s">
        <v>81</v>
      </c>
      <c r="E2952" s="5">
        <v>-29262</v>
      </c>
      <c r="F2952" s="3" t="s">
        <v>1428</v>
      </c>
      <c r="G2952" s="3" t="s">
        <v>38</v>
      </c>
      <c r="H2952" s="2" t="s">
        <v>65</v>
      </c>
      <c r="I2952" s="2" t="s">
        <v>7277</v>
      </c>
      <c r="J2952" s="3" t="str">
        <f>HYPERLINK("https://www.boe.es/gazeta/dias/1819/11/18/pdfs/GMD-1819-142.pdf#page=5","Abrir facsímil")</f>
        <v>Abrir facsímil</v>
      </c>
      <c r="K2952" s="3" t="s">
        <v>67</v>
      </c>
    </row>
    <row r="2953" spans="1:11" ht="42" customHeight="1">
      <c r="A2953" s="2" t="s">
        <v>7278</v>
      </c>
      <c r="B2953" s="2" t="s">
        <v>7278</v>
      </c>
      <c r="C2953" s="2" t="s">
        <v>80</v>
      </c>
      <c r="D2953" s="2" t="s">
        <v>81</v>
      </c>
      <c r="E2953" s="5">
        <v>-29463</v>
      </c>
      <c r="F2953" s="3" t="s">
        <v>114</v>
      </c>
      <c r="G2953" s="3" t="s">
        <v>33</v>
      </c>
      <c r="H2953" s="2" t="s">
        <v>65</v>
      </c>
      <c r="I2953" s="2" t="s">
        <v>7279</v>
      </c>
      <c r="J2953" s="3" t="str">
        <f>HYPERLINK("https://www.boe.es/gazeta/dias/1819/05/01/pdfs/GMD-1819-52.pdf#page=6","Abrir facsímil")</f>
        <v>Abrir facsímil</v>
      </c>
      <c r="K2953" s="3" t="s">
        <v>67</v>
      </c>
    </row>
    <row r="2954" spans="1:11" ht="42" customHeight="1">
      <c r="A2954" s="2" t="s">
        <v>7278</v>
      </c>
      <c r="B2954" s="2" t="s">
        <v>7278</v>
      </c>
      <c r="C2954" s="2" t="s">
        <v>80</v>
      </c>
      <c r="D2954" s="2" t="s">
        <v>81</v>
      </c>
      <c r="E2954" s="5">
        <v>-29260</v>
      </c>
      <c r="F2954" s="3" t="s">
        <v>93</v>
      </c>
      <c r="G2954" s="3" t="s">
        <v>94</v>
      </c>
      <c r="H2954" s="2" t="s">
        <v>65</v>
      </c>
      <c r="I2954" s="2" t="s">
        <v>7280</v>
      </c>
      <c r="J2954" s="3" t="str">
        <f>HYPERLINK("https://www.boe.es/gazeta/dias/1819/11/20/pdfs/GMD-1819-143.pdf#page=11","Abrir facsímil")</f>
        <v>Abrir facsímil</v>
      </c>
      <c r="K2954" s="3" t="s">
        <v>67</v>
      </c>
    </row>
    <row r="2955" spans="1:11" ht="42" customHeight="1">
      <c r="A2955" s="2" t="s">
        <v>7278</v>
      </c>
      <c r="B2955" s="2" t="s">
        <v>7278</v>
      </c>
      <c r="C2955" s="2" t="s">
        <v>80</v>
      </c>
      <c r="D2955" s="2" t="s">
        <v>81</v>
      </c>
      <c r="E2955" s="5">
        <v>-29260</v>
      </c>
      <c r="F2955" s="3" t="s">
        <v>93</v>
      </c>
      <c r="G2955" s="3" t="s">
        <v>28</v>
      </c>
      <c r="H2955" s="2" t="s">
        <v>65</v>
      </c>
      <c r="I2955" s="2" t="s">
        <v>7281</v>
      </c>
      <c r="J2955" s="3" t="str">
        <f>HYPERLINK("https://www.boe.es/gazeta/dias/1819/11/20/pdfs/GMD-1819-143.pdf#page=8","Abrir facsímil")</f>
        <v>Abrir facsímil</v>
      </c>
      <c r="K2955" s="3" t="s">
        <v>67</v>
      </c>
    </row>
    <row r="2956" spans="1:11" ht="42" customHeight="1">
      <c r="A2956" s="2" t="s">
        <v>7282</v>
      </c>
      <c r="B2956" s="2" t="s">
        <v>7283</v>
      </c>
      <c r="C2956" s="2" t="s">
        <v>59</v>
      </c>
      <c r="D2956" s="2" t="s">
        <v>18</v>
      </c>
      <c r="E2956" s="5">
        <v>-29355</v>
      </c>
      <c r="F2956" s="3" t="s">
        <v>347</v>
      </c>
      <c r="G2956" s="3" t="s">
        <v>348</v>
      </c>
      <c r="H2956" s="2" t="s">
        <v>65</v>
      </c>
      <c r="I2956" s="2" t="s">
        <v>7284</v>
      </c>
      <c r="J2956" s="3" t="str">
        <f>HYPERLINK("https://www.boe.es/gazeta/dias/1819/08/17/pdfs/GMD-1819-99.pdf#page=6","Abrir facsímil")</f>
        <v>Abrir facsímil</v>
      </c>
      <c r="K2956" s="3" t="s">
        <v>67</v>
      </c>
    </row>
    <row r="2957" spans="1:11" ht="42" customHeight="1">
      <c r="A2957" s="2" t="s">
        <v>7285</v>
      </c>
      <c r="B2957" s="2" t="s">
        <v>7286</v>
      </c>
      <c r="C2957" s="2" t="s">
        <v>80</v>
      </c>
      <c r="D2957" s="2" t="s">
        <v>81</v>
      </c>
      <c r="E2957" s="5">
        <v>-29260</v>
      </c>
      <c r="F2957" s="3" t="s">
        <v>93</v>
      </c>
      <c r="G2957" s="3" t="s">
        <v>456</v>
      </c>
      <c r="H2957" s="2" t="s">
        <v>65</v>
      </c>
      <c r="I2957" s="2" t="s">
        <v>7287</v>
      </c>
      <c r="J2957" s="3" t="str">
        <f>HYPERLINK("https://www.boe.es/gazeta/dias/1819/11/20/pdfs/GMD-1819-143.pdf#page=9","Abrir facsímil")</f>
        <v>Abrir facsímil</v>
      </c>
      <c r="K2957" s="3" t="s">
        <v>67</v>
      </c>
    </row>
    <row r="2958" spans="1:11" ht="42" customHeight="1">
      <c r="A2958" s="2" t="s">
        <v>7288</v>
      </c>
      <c r="B2958" s="2" t="s">
        <v>7288</v>
      </c>
      <c r="C2958" s="2" t="s">
        <v>80</v>
      </c>
      <c r="D2958" s="2" t="s">
        <v>81</v>
      </c>
      <c r="E2958" s="5">
        <v>-29260</v>
      </c>
      <c r="F2958" s="3" t="s">
        <v>93</v>
      </c>
      <c r="G2958" s="3" t="s">
        <v>28</v>
      </c>
      <c r="H2958" s="2" t="s">
        <v>65</v>
      </c>
      <c r="I2958" s="2" t="s">
        <v>7289</v>
      </c>
      <c r="J2958" s="3" t="str">
        <f>HYPERLINK("https://www.boe.es/gazeta/dias/1819/11/20/pdfs/GMD-1819-143.pdf#page=8","Abrir facsímil")</f>
        <v>Abrir facsímil</v>
      </c>
      <c r="K2958" s="3" t="s">
        <v>67</v>
      </c>
    </row>
    <row r="2959" spans="1:11" ht="42" customHeight="1">
      <c r="A2959" s="2" t="s">
        <v>7290</v>
      </c>
      <c r="B2959" s="2" t="s">
        <v>7291</v>
      </c>
      <c r="C2959" s="2" t="s">
        <v>80</v>
      </c>
      <c r="D2959" s="2" t="s">
        <v>81</v>
      </c>
      <c r="E2959" s="5">
        <v>-29264</v>
      </c>
      <c r="F2959" s="3" t="s">
        <v>37</v>
      </c>
      <c r="G2959" s="3" t="s">
        <v>20</v>
      </c>
      <c r="H2959" s="2" t="s">
        <v>65</v>
      </c>
      <c r="I2959" s="2" t="s">
        <v>7292</v>
      </c>
      <c r="J2959" s="3" t="str">
        <f>HYPERLINK("https://www.boe.es/gazeta/dias/1819/11/16/pdfs/GMD-1819-141.pdf#page=10","Abrir facsímil")</f>
        <v>Abrir facsímil</v>
      </c>
      <c r="K2959" s="3" t="s">
        <v>67</v>
      </c>
    </row>
    <row r="2960" spans="1:11" ht="42" customHeight="1">
      <c r="A2960" s="2" t="s">
        <v>7293</v>
      </c>
      <c r="B2960" s="2" t="s">
        <v>7294</v>
      </c>
      <c r="C2960" s="2" t="s">
        <v>80</v>
      </c>
      <c r="D2960" s="2" t="s">
        <v>81</v>
      </c>
      <c r="E2960" s="5">
        <v>-29444</v>
      </c>
      <c r="F2960" s="3" t="s">
        <v>258</v>
      </c>
      <c r="G2960" s="3" t="s">
        <v>33</v>
      </c>
      <c r="H2960" s="2" t="s">
        <v>65</v>
      </c>
      <c r="I2960" s="2" t="s">
        <v>7295</v>
      </c>
      <c r="J2960" s="3" t="str">
        <f>HYPERLINK("https://www.boe.es/gazeta/dias/1819/05/20/pdfs/GMD-1819-60.pdf#page=6","Abrir facsímil")</f>
        <v>Abrir facsímil</v>
      </c>
      <c r="K2960" s="3" t="s">
        <v>67</v>
      </c>
    </row>
    <row r="2961" spans="1:11" ht="42" customHeight="1">
      <c r="A2961" s="2" t="s">
        <v>7296</v>
      </c>
      <c r="B2961" s="2" t="s">
        <v>7297</v>
      </c>
      <c r="C2961" s="2" t="s">
        <v>63</v>
      </c>
      <c r="D2961" s="2" t="s">
        <v>43</v>
      </c>
      <c r="E2961" s="5">
        <v>-29304</v>
      </c>
      <c r="F2961" s="3" t="s">
        <v>519</v>
      </c>
      <c r="G2961" s="3" t="s">
        <v>28</v>
      </c>
      <c r="H2961" s="2" t="s">
        <v>65</v>
      </c>
      <c r="I2961" s="2" t="s">
        <v>7298</v>
      </c>
      <c r="J2961" s="3" t="str">
        <f>HYPERLINK("https://www.boe.es/gazeta/dias/1819/10/07/pdfs/GMD-1819-123.pdf#page=8","Abrir facsímil")</f>
        <v>Abrir facsímil</v>
      </c>
      <c r="K2961" s="3" t="s">
        <v>67</v>
      </c>
    </row>
    <row r="2962" spans="1:11" ht="42" customHeight="1">
      <c r="A2962" s="2" t="s">
        <v>7299</v>
      </c>
      <c r="B2962" s="2" t="s">
        <v>7300</v>
      </c>
      <c r="C2962" s="2" t="s">
        <v>136</v>
      </c>
      <c r="D2962" s="2" t="s">
        <v>18</v>
      </c>
      <c r="E2962" s="5">
        <v>-29255</v>
      </c>
      <c r="F2962" s="3" t="s">
        <v>357</v>
      </c>
      <c r="G2962" s="3" t="s">
        <v>28</v>
      </c>
      <c r="H2962" s="2" t="s">
        <v>65</v>
      </c>
      <c r="I2962" s="2" t="s">
        <v>7301</v>
      </c>
      <c r="J2962" s="3" t="str">
        <f>HYPERLINK("https://www.boe.es/gazeta/dias/1819/11/25/pdfs/GMD-1819-145.pdf#page=8","Abrir facsímil")</f>
        <v>Abrir facsímil</v>
      </c>
      <c r="K2962" s="3" t="s">
        <v>67</v>
      </c>
    </row>
    <row r="2963" spans="1:11" ht="42" customHeight="1">
      <c r="A2963" s="2" t="s">
        <v>7302</v>
      </c>
      <c r="B2963" s="2" t="s">
        <v>7303</v>
      </c>
      <c r="C2963" s="2" t="s">
        <v>80</v>
      </c>
      <c r="D2963" s="2" t="s">
        <v>81</v>
      </c>
      <c r="E2963" s="5">
        <v>-29304</v>
      </c>
      <c r="F2963" s="3" t="s">
        <v>519</v>
      </c>
      <c r="G2963" s="3" t="s">
        <v>552</v>
      </c>
      <c r="H2963" s="2" t="s">
        <v>65</v>
      </c>
      <c r="I2963" s="2" t="s">
        <v>7304</v>
      </c>
      <c r="J2963" s="3" t="str">
        <f>HYPERLINK("https://www.boe.es/gazeta/dias/1819/10/07/pdfs/GMD-1819-123.pdf#page=6","Abrir facsímil")</f>
        <v>Abrir facsímil</v>
      </c>
      <c r="K2963" s="3" t="s">
        <v>67</v>
      </c>
    </row>
    <row r="2964" spans="1:11" ht="42" customHeight="1">
      <c r="A2964" s="2" t="s">
        <v>7305</v>
      </c>
      <c r="B2964" s="2" t="s">
        <v>7306</v>
      </c>
      <c r="C2964" s="2" t="s">
        <v>80</v>
      </c>
      <c r="D2964" s="2" t="s">
        <v>81</v>
      </c>
      <c r="E2964" s="5">
        <v>-29353</v>
      </c>
      <c r="F2964" s="3" t="s">
        <v>867</v>
      </c>
      <c r="G2964" s="3" t="s">
        <v>28</v>
      </c>
      <c r="H2964" s="2" t="s">
        <v>65</v>
      </c>
      <c r="I2964" s="2" t="s">
        <v>7307</v>
      </c>
      <c r="J2964" s="3" t="str">
        <f>HYPERLINK("https://www.boe.es/gazeta/dias/1819/08/19/pdfs/GMD-1819-100.pdf#page=8","Abrir facsímil")</f>
        <v>Abrir facsímil</v>
      </c>
      <c r="K2964" s="3" t="s">
        <v>67</v>
      </c>
    </row>
    <row r="2965" spans="1:11" ht="42" customHeight="1">
      <c r="A2965" s="2" t="s">
        <v>7308</v>
      </c>
      <c r="B2965" s="2" t="s">
        <v>7309</v>
      </c>
      <c r="C2965" s="2" t="s">
        <v>63</v>
      </c>
      <c r="D2965" s="2" t="s">
        <v>43</v>
      </c>
      <c r="E2965" s="5">
        <v>-29393</v>
      </c>
      <c r="F2965" s="3" t="s">
        <v>536</v>
      </c>
      <c r="G2965" s="3" t="s">
        <v>7310</v>
      </c>
      <c r="H2965" s="2" t="s">
        <v>65</v>
      </c>
      <c r="I2965" s="2" t="s">
        <v>7311</v>
      </c>
      <c r="J2965" s="3" t="str">
        <f>HYPERLINK("https://www.boe.es/gazeta/dias/1819/07/10/pdfs/GMD-1819-83.pdf#page=7","Abrir facsímil")</f>
        <v>Abrir facsímil</v>
      </c>
      <c r="K2965" s="3" t="s">
        <v>67</v>
      </c>
    </row>
    <row r="2966" spans="1:11" ht="42" customHeight="1">
      <c r="A2966" s="2" t="s">
        <v>7312</v>
      </c>
      <c r="B2966" s="2" t="s">
        <v>7313</v>
      </c>
      <c r="C2966" s="2" t="s">
        <v>80</v>
      </c>
      <c r="D2966" s="2" t="s">
        <v>81</v>
      </c>
      <c r="E2966" s="5">
        <v>-29495</v>
      </c>
      <c r="F2966" s="3" t="s">
        <v>992</v>
      </c>
      <c r="G2966" s="3" t="s">
        <v>55</v>
      </c>
      <c r="H2966" s="2" t="s">
        <v>65</v>
      </c>
      <c r="I2966" s="2" t="s">
        <v>7314</v>
      </c>
      <c r="J2966" s="3" t="str">
        <f>HYPERLINK("https://www.boe.es/gazeta/dias/1819/03/30/pdfs/GMD-1819-38.pdf#page=7","Abrir facsímil")</f>
        <v>Abrir facsímil</v>
      </c>
      <c r="K2966" s="3" t="s">
        <v>67</v>
      </c>
    </row>
    <row r="2967" spans="1:11" ht="42" customHeight="1">
      <c r="A2967" s="2" t="s">
        <v>7312</v>
      </c>
      <c r="B2967" s="2" t="s">
        <v>7313</v>
      </c>
      <c r="C2967" s="2" t="s">
        <v>26</v>
      </c>
      <c r="D2967" s="2" t="s">
        <v>18</v>
      </c>
      <c r="E2967" s="5">
        <v>-29269</v>
      </c>
      <c r="F2967" s="3" t="s">
        <v>565</v>
      </c>
      <c r="G2967" s="3" t="s">
        <v>296</v>
      </c>
      <c r="H2967" s="2" t="s">
        <v>65</v>
      </c>
      <c r="I2967" s="2" t="s">
        <v>7315</v>
      </c>
      <c r="J2967" s="3" t="str">
        <f>HYPERLINK("https://www.boe.es/gazeta/dias/1819/11/11/pdfs/GMD-1819-139.pdf#page=4","Abrir facsímil")</f>
        <v>Abrir facsímil</v>
      </c>
      <c r="K2967" s="3" t="s">
        <v>67</v>
      </c>
    </row>
    <row r="2968" spans="1:11" ht="42" customHeight="1">
      <c r="A2968" s="2" t="s">
        <v>7316</v>
      </c>
      <c r="B2968" s="2" t="s">
        <v>7317</v>
      </c>
      <c r="C2968" s="2" t="s">
        <v>80</v>
      </c>
      <c r="D2968" s="2" t="s">
        <v>81</v>
      </c>
      <c r="E2968" s="5">
        <v>-29346</v>
      </c>
      <c r="F2968" s="3" t="s">
        <v>718</v>
      </c>
      <c r="G2968" s="3" t="s">
        <v>33</v>
      </c>
      <c r="H2968" s="2" t="s">
        <v>21</v>
      </c>
      <c r="I2968" s="2" t="s">
        <v>7318</v>
      </c>
      <c r="J2968" s="3" t="str">
        <f>HYPERLINK("https://www.boe.es/gazeta/dias/1819/08/26/pdfs/GMD-1819-103.pdf#page=6","Abrir facsímil")</f>
        <v>Abrir facsímil</v>
      </c>
      <c r="K2968" s="3" t="s">
        <v>23</v>
      </c>
    </row>
    <row r="2969" spans="1:11" ht="42" customHeight="1">
      <c r="A2969" s="2" t="s">
        <v>7319</v>
      </c>
      <c r="B2969" s="2" t="s">
        <v>7320</v>
      </c>
      <c r="C2969" s="2" t="s">
        <v>59</v>
      </c>
      <c r="D2969" s="2" t="s">
        <v>18</v>
      </c>
      <c r="E2969" s="5">
        <v>-29414</v>
      </c>
      <c r="F2969" s="3" t="s">
        <v>732</v>
      </c>
      <c r="G2969" s="3" t="s">
        <v>55</v>
      </c>
      <c r="H2969" s="2" t="s">
        <v>65</v>
      </c>
      <c r="I2969" s="2" t="s">
        <v>7321</v>
      </c>
      <c r="J2969" s="3" t="str">
        <f>HYPERLINK("https://www.boe.es/gazeta/dias/1819/06/19/pdfs/GMD-1819-74.pdf#page=7","Abrir facsímil")</f>
        <v>Abrir facsímil</v>
      </c>
      <c r="K2969" s="3" t="s">
        <v>67</v>
      </c>
    </row>
    <row r="2970" spans="1:11" ht="42" customHeight="1">
      <c r="A2970" s="2" t="s">
        <v>7322</v>
      </c>
      <c r="B2970" s="2" t="s">
        <v>7323</v>
      </c>
      <c r="C2970" s="2" t="s">
        <v>63</v>
      </c>
      <c r="D2970" s="2" t="s">
        <v>454</v>
      </c>
      <c r="E2970" s="5">
        <v>-29287</v>
      </c>
      <c r="F2970" s="3" t="s">
        <v>455</v>
      </c>
      <c r="G2970" s="3" t="s">
        <v>1113</v>
      </c>
      <c r="H2970" s="2" t="s">
        <v>65</v>
      </c>
      <c r="I2970" s="2" t="s">
        <v>7324</v>
      </c>
      <c r="J2970" s="3" t="str">
        <f>HYPERLINK("https://www.boe.es/gazeta/dias/1819/10/24/pdfs/GMD-1819-131E.pdf#page=7","Abrir facsímil")</f>
        <v>Abrir facsímil</v>
      </c>
      <c r="K2970" s="3" t="s">
        <v>67</v>
      </c>
    </row>
    <row r="2971" spans="1:11" ht="42" customHeight="1">
      <c r="A2971" s="2" t="s">
        <v>7325</v>
      </c>
      <c r="B2971" s="2" t="s">
        <v>7326</v>
      </c>
      <c r="C2971" s="2" t="s">
        <v>17</v>
      </c>
      <c r="D2971" s="2" t="s">
        <v>18</v>
      </c>
      <c r="E2971" s="5">
        <v>-29281</v>
      </c>
      <c r="F2971" s="3" t="s">
        <v>19</v>
      </c>
      <c r="G2971" s="3" t="s">
        <v>20</v>
      </c>
      <c r="H2971" s="2" t="s">
        <v>65</v>
      </c>
      <c r="I2971" s="2" t="s">
        <v>7327</v>
      </c>
      <c r="J2971" s="3" t="str">
        <f>HYPERLINK("https://www.boe.es/gazeta/dias/1819/10/30/pdfs/GMD-1819-134.pdf#page=10","Abrir facsímil")</f>
        <v>Abrir facsímil</v>
      </c>
      <c r="K2971" s="3" t="s">
        <v>67</v>
      </c>
    </row>
    <row r="2972" spans="1:11" ht="42" customHeight="1">
      <c r="A2972" s="2" t="s">
        <v>7328</v>
      </c>
      <c r="B2972" s="2" t="s">
        <v>7329</v>
      </c>
      <c r="C2972" s="2" t="s">
        <v>59</v>
      </c>
      <c r="D2972" s="2" t="s">
        <v>18</v>
      </c>
      <c r="E2972" s="5">
        <v>-29292</v>
      </c>
      <c r="F2972" s="3" t="s">
        <v>875</v>
      </c>
      <c r="G2972" s="3" t="s">
        <v>28</v>
      </c>
      <c r="H2972" s="2" t="s">
        <v>65</v>
      </c>
      <c r="I2972" s="2" t="s">
        <v>7330</v>
      </c>
      <c r="J2972" s="3" t="str">
        <f>HYPERLINK("https://www.boe.es/gazeta/dias/1819/10/19/pdfs/GMD-1819-128.pdf#page=8","Abrir facsímil")</f>
        <v>Abrir facsímil</v>
      </c>
      <c r="K2972" s="3" t="s">
        <v>67</v>
      </c>
    </row>
    <row r="2973" spans="1:11" ht="42" customHeight="1">
      <c r="A2973" s="2" t="s">
        <v>7331</v>
      </c>
      <c r="B2973" s="2" t="s">
        <v>7332</v>
      </c>
      <c r="C2973" s="2" t="s">
        <v>17</v>
      </c>
      <c r="D2973" s="2" t="s">
        <v>18</v>
      </c>
      <c r="E2973" s="5">
        <v>-29537</v>
      </c>
      <c r="F2973" s="3" t="s">
        <v>593</v>
      </c>
      <c r="G2973" s="3" t="s">
        <v>456</v>
      </c>
      <c r="H2973" s="2" t="s">
        <v>65</v>
      </c>
      <c r="I2973" s="2" t="s">
        <v>7333</v>
      </c>
      <c r="J2973" s="3" t="str">
        <f>HYPERLINK("https://www.boe.es/gazeta/dias/1819/02/16/pdfs/GMD-1819-20.pdf#page=9","Abrir facsímil")</f>
        <v>Abrir facsímil</v>
      </c>
      <c r="K2973" s="3" t="s">
        <v>67</v>
      </c>
    </row>
    <row r="2974" spans="1:11" ht="42" customHeight="1">
      <c r="A2974" s="2" t="s">
        <v>7334</v>
      </c>
      <c r="B2974" s="2" t="s">
        <v>7335</v>
      </c>
      <c r="C2974" s="2" t="s">
        <v>42</v>
      </c>
      <c r="D2974" s="2" t="s">
        <v>43</v>
      </c>
      <c r="E2974" s="5">
        <v>-29276</v>
      </c>
      <c r="F2974" s="3" t="s">
        <v>54</v>
      </c>
      <c r="G2974" s="3" t="s">
        <v>284</v>
      </c>
      <c r="H2974" s="2" t="s">
        <v>65</v>
      </c>
      <c r="I2974" s="2" t="s">
        <v>7336</v>
      </c>
      <c r="J2974" s="3" t="str">
        <f>HYPERLINK("https://www.boe.es/gazeta/dias/1819/11/04/pdfs/GMD-1819-136.pdf#page=6","Abrir facsímil")</f>
        <v>Abrir facsímil</v>
      </c>
      <c r="K2974" s="3" t="s">
        <v>67</v>
      </c>
    </row>
    <row r="2975" spans="1:11" ht="42" customHeight="1">
      <c r="A2975" s="2" t="s">
        <v>7337</v>
      </c>
      <c r="B2975" s="2" t="s">
        <v>7338</v>
      </c>
      <c r="C2975" s="2" t="s">
        <v>80</v>
      </c>
      <c r="D2975" s="2" t="s">
        <v>81</v>
      </c>
      <c r="E2975" s="5">
        <v>-29491</v>
      </c>
      <c r="F2975" s="3" t="s">
        <v>1604</v>
      </c>
      <c r="G2975" s="3" t="s">
        <v>38</v>
      </c>
      <c r="H2975" s="2" t="s">
        <v>65</v>
      </c>
      <c r="I2975" s="2" t="s">
        <v>7339</v>
      </c>
      <c r="J2975" s="3" t="str">
        <f>HYPERLINK("https://www.boe.es/gazeta/dias/1819/04/03/pdfs/GMD-1819-40.pdf#page=5","Abrir facsímil")</f>
        <v>Abrir facsímil</v>
      </c>
      <c r="K2975" s="3" t="s">
        <v>67</v>
      </c>
    </row>
    <row r="2976" spans="1:11" ht="42" customHeight="1">
      <c r="A2976" s="2" t="s">
        <v>7340</v>
      </c>
      <c r="B2976" s="2" t="s">
        <v>7341</v>
      </c>
      <c r="C2976" s="2" t="s">
        <v>59</v>
      </c>
      <c r="D2976" s="2" t="s">
        <v>18</v>
      </c>
      <c r="E2976" s="5">
        <v>-29316</v>
      </c>
      <c r="F2976" s="3" t="s">
        <v>166</v>
      </c>
      <c r="G2976" s="3" t="s">
        <v>38</v>
      </c>
      <c r="H2976" s="2" t="s">
        <v>65</v>
      </c>
      <c r="I2976" s="2" t="s">
        <v>7342</v>
      </c>
      <c r="J2976" s="3" t="str">
        <f>HYPERLINK("https://www.boe.es/gazeta/dias/1819/09/25/pdfs/GMD-1819-118.pdf#page=5","Abrir facsímil")</f>
        <v>Abrir facsímil</v>
      </c>
      <c r="K2976" s="3" t="s">
        <v>67</v>
      </c>
    </row>
    <row r="2977" spans="1:11" ht="42" customHeight="1">
      <c r="A2977" s="2" t="s">
        <v>7343</v>
      </c>
      <c r="B2977" s="2" t="s">
        <v>7344</v>
      </c>
      <c r="C2977" s="2" t="s">
        <v>246</v>
      </c>
      <c r="D2977" s="2" t="s">
        <v>18</v>
      </c>
      <c r="E2977" s="5">
        <v>-29229</v>
      </c>
      <c r="F2977" s="3" t="s">
        <v>44</v>
      </c>
      <c r="G2977" s="3" t="s">
        <v>33</v>
      </c>
      <c r="H2977" s="2" t="s">
        <v>65</v>
      </c>
      <c r="I2977" s="2" t="s">
        <v>7345</v>
      </c>
      <c r="J2977" s="3" t="str">
        <f>HYPERLINK("https://www.boe.es/gazeta/dias/1819/12/21/pdfs/GMD-1819-156.pdf#page=6","Abrir facsímil")</f>
        <v>Abrir facsímil</v>
      </c>
      <c r="K2977" s="3" t="s">
        <v>67</v>
      </c>
    </row>
    <row r="2978" spans="1:11" ht="42" customHeight="1">
      <c r="A2978" s="2" t="s">
        <v>7346</v>
      </c>
      <c r="B2978" s="2" t="s">
        <v>7347</v>
      </c>
      <c r="C2978" s="2" t="s">
        <v>80</v>
      </c>
      <c r="D2978" s="2" t="s">
        <v>81</v>
      </c>
      <c r="E2978" s="5">
        <v>-29435</v>
      </c>
      <c r="F2978" s="3" t="s">
        <v>191</v>
      </c>
      <c r="G2978" s="3" t="s">
        <v>55</v>
      </c>
      <c r="H2978" s="2" t="s">
        <v>21</v>
      </c>
      <c r="I2978" s="2" t="s">
        <v>7348</v>
      </c>
      <c r="J2978" s="3" t="str">
        <f>HYPERLINK("https://www.boe.es/gazeta/dias/1819/05/29/pdfs/GMD-1819-64.pdf#page=7","Abrir facsímil")</f>
        <v>Abrir facsímil</v>
      </c>
      <c r="K2978" s="3" t="s">
        <v>23</v>
      </c>
    </row>
    <row r="2979" spans="1:11" ht="42" customHeight="1">
      <c r="A2979" s="2" t="s">
        <v>7349</v>
      </c>
      <c r="B2979" s="2" t="s">
        <v>7350</v>
      </c>
      <c r="C2979" s="2" t="s">
        <v>63</v>
      </c>
      <c r="D2979" s="2" t="s">
        <v>43</v>
      </c>
      <c r="E2979" s="5">
        <v>-29425</v>
      </c>
      <c r="F2979" s="3" t="s">
        <v>110</v>
      </c>
      <c r="G2979" s="3" t="s">
        <v>55</v>
      </c>
      <c r="H2979" s="2" t="s">
        <v>65</v>
      </c>
      <c r="I2979" s="2" t="s">
        <v>7351</v>
      </c>
      <c r="J2979" s="3" t="str">
        <f>HYPERLINK("https://www.boe.es/gazeta/dias/1819/06/08/pdfs/GMD-1819-68.pdf#page=7","Abrir facsímil")</f>
        <v>Abrir facsímil</v>
      </c>
      <c r="K2979" s="3" t="s">
        <v>67</v>
      </c>
    </row>
    <row r="2980" spans="1:11" ht="42" customHeight="1">
      <c r="A2980" s="2" t="s">
        <v>7352</v>
      </c>
      <c r="B2980" s="2" t="s">
        <v>7352</v>
      </c>
      <c r="C2980" s="2" t="s">
        <v>63</v>
      </c>
      <c r="D2980" s="2" t="s">
        <v>43</v>
      </c>
      <c r="E2980" s="5">
        <v>-29383</v>
      </c>
      <c r="F2980" s="3" t="s">
        <v>631</v>
      </c>
      <c r="G2980" s="3" t="s">
        <v>28</v>
      </c>
      <c r="H2980" s="2" t="s">
        <v>65</v>
      </c>
      <c r="I2980" s="2" t="s">
        <v>7353</v>
      </c>
      <c r="J2980" s="3" t="str">
        <f>HYPERLINK("https://www.boe.es/gazeta/dias/1819/07/20/pdfs/GMD-1819-87.pdf#page=8","Abrir facsímil")</f>
        <v>Abrir facsímil</v>
      </c>
      <c r="K2980" s="3" t="s">
        <v>67</v>
      </c>
    </row>
    <row r="2981" spans="1:11" ht="42" customHeight="1">
      <c r="A2981" s="2" t="s">
        <v>7354</v>
      </c>
      <c r="B2981" s="2" t="s">
        <v>7355</v>
      </c>
      <c r="C2981" s="2" t="s">
        <v>80</v>
      </c>
      <c r="D2981" s="2" t="s">
        <v>81</v>
      </c>
      <c r="E2981" s="5">
        <v>-29327</v>
      </c>
      <c r="F2981" s="3" t="s">
        <v>620</v>
      </c>
      <c r="G2981" s="3" t="s">
        <v>38</v>
      </c>
      <c r="H2981" s="2" t="s">
        <v>65</v>
      </c>
      <c r="I2981" s="2" t="s">
        <v>7356</v>
      </c>
      <c r="J2981" s="3" t="str">
        <f>HYPERLINK("https://www.boe.es/gazeta/dias/1819/09/14/pdfs/GMD-1819-112.pdf#page=5","Abrir facsímil")</f>
        <v>Abrir facsímil</v>
      </c>
      <c r="K2981" s="3" t="s">
        <v>67</v>
      </c>
    </row>
    <row r="2982" spans="1:11" ht="42" customHeight="1">
      <c r="A2982" s="2" t="s">
        <v>7357</v>
      </c>
      <c r="B2982" s="2" t="s">
        <v>7358</v>
      </c>
      <c r="C2982" s="2" t="s">
        <v>17</v>
      </c>
      <c r="D2982" s="2" t="s">
        <v>18</v>
      </c>
      <c r="E2982" s="5">
        <v>-29390</v>
      </c>
      <c r="F2982" s="3" t="s">
        <v>263</v>
      </c>
      <c r="G2982" s="3" t="s">
        <v>55</v>
      </c>
      <c r="H2982" s="2" t="s">
        <v>65</v>
      </c>
      <c r="I2982" s="2" t="s">
        <v>7359</v>
      </c>
      <c r="J2982" s="3" t="str">
        <f>HYPERLINK("https://www.boe.es/gazeta/dias/1819/07/13/pdfs/GMD-1819-84.pdf#page=7","Abrir facsímil")</f>
        <v>Abrir facsímil</v>
      </c>
      <c r="K2982" s="3" t="s">
        <v>67</v>
      </c>
    </row>
    <row r="2983" spans="1:11" ht="42" customHeight="1">
      <c r="A2983" s="2" t="s">
        <v>7360</v>
      </c>
      <c r="B2983" s="2" t="s">
        <v>7361</v>
      </c>
      <c r="C2983" s="2" t="s">
        <v>80</v>
      </c>
      <c r="D2983" s="2" t="s">
        <v>81</v>
      </c>
      <c r="E2983" s="5">
        <v>-29465</v>
      </c>
      <c r="F2983" s="3" t="s">
        <v>1934</v>
      </c>
      <c r="G2983" s="3" t="s">
        <v>4453</v>
      </c>
      <c r="H2983" s="2" t="s">
        <v>65</v>
      </c>
      <c r="I2983" s="2" t="s">
        <v>7362</v>
      </c>
      <c r="J2983" s="3" t="str">
        <f>HYPERLINK("https://www.boe.es/gazeta/dias/1819/04/29/pdfs/GMD-1819-51.pdf#page=6","Abrir facsímil")</f>
        <v>Abrir facsímil</v>
      </c>
      <c r="K2983" s="3" t="s">
        <v>67</v>
      </c>
    </row>
    <row r="2984" spans="1:11" ht="42" customHeight="1">
      <c r="A2984" s="2" t="s">
        <v>7363</v>
      </c>
      <c r="B2984" s="2" t="s">
        <v>7364</v>
      </c>
      <c r="C2984" s="2" t="s">
        <v>59</v>
      </c>
      <c r="D2984" s="2" t="s">
        <v>18</v>
      </c>
      <c r="E2984" s="5">
        <v>-29236</v>
      </c>
      <c r="F2984" s="3" t="s">
        <v>379</v>
      </c>
      <c r="G2984" s="3" t="s">
        <v>38</v>
      </c>
      <c r="H2984" s="2" t="s">
        <v>65</v>
      </c>
      <c r="I2984" s="2" t="s">
        <v>7365</v>
      </c>
      <c r="J2984" s="3" t="str">
        <f>HYPERLINK("https://www.boe.es/gazeta/dias/1819/12/14/pdfs/GMD-1819-153.pdf#page=5","Abrir facsímil")</f>
        <v>Abrir facsímil</v>
      </c>
      <c r="K2984" s="3" t="s">
        <v>67</v>
      </c>
    </row>
    <row r="2985" spans="1:11" ht="42" customHeight="1">
      <c r="A2985" s="2" t="s">
        <v>7366</v>
      </c>
      <c r="B2985" s="2" t="s">
        <v>7367</v>
      </c>
      <c r="C2985" s="2" t="s">
        <v>80</v>
      </c>
      <c r="D2985" s="2" t="s">
        <v>454</v>
      </c>
      <c r="E2985" s="5">
        <v>-29287</v>
      </c>
      <c r="F2985" s="3" t="s">
        <v>455</v>
      </c>
      <c r="G2985" s="3" t="s">
        <v>481</v>
      </c>
      <c r="H2985" s="2" t="s">
        <v>65</v>
      </c>
      <c r="I2985" s="2" t="s">
        <v>7368</v>
      </c>
      <c r="J2985" s="3" t="str">
        <f>HYPERLINK("https://www.boe.es/gazeta/dias/1819/10/24/pdfs/GMD-1819-131E.pdf#page=8","Abrir facsímil")</f>
        <v>Abrir facsímil</v>
      </c>
      <c r="K2985" s="3" t="s">
        <v>67</v>
      </c>
    </row>
    <row r="2986" spans="1:11" ht="42" customHeight="1">
      <c r="A2986" s="2" t="s">
        <v>7369</v>
      </c>
      <c r="B2986" s="2" t="s">
        <v>7370</v>
      </c>
      <c r="C2986" s="2" t="s">
        <v>26</v>
      </c>
      <c r="D2986" s="2" t="s">
        <v>18</v>
      </c>
      <c r="E2986" s="5">
        <v>-29241</v>
      </c>
      <c r="F2986" s="3" t="s">
        <v>1382</v>
      </c>
      <c r="G2986" s="3" t="s">
        <v>33</v>
      </c>
      <c r="H2986" s="2" t="s">
        <v>65</v>
      </c>
      <c r="I2986" s="2" t="s">
        <v>7371</v>
      </c>
      <c r="J2986" s="3" t="str">
        <f>HYPERLINK("https://www.boe.es/gazeta/dias/1819/12/09/pdfs/GMD-1819-151.pdf#page=6","Abrir facsímil")</f>
        <v>Abrir facsímil</v>
      </c>
      <c r="K2986" s="3" t="s">
        <v>67</v>
      </c>
    </row>
    <row r="2987" spans="1:11" ht="42" customHeight="1">
      <c r="A2987" s="2" t="s">
        <v>7372</v>
      </c>
      <c r="B2987" s="2" t="s">
        <v>7373</v>
      </c>
      <c r="C2987" s="2" t="s">
        <v>63</v>
      </c>
      <c r="D2987" s="2" t="s">
        <v>43</v>
      </c>
      <c r="E2987" s="5">
        <v>-29348</v>
      </c>
      <c r="F2987" s="3" t="s">
        <v>227</v>
      </c>
      <c r="G2987" s="3" t="s">
        <v>28</v>
      </c>
      <c r="H2987" s="2" t="s">
        <v>65</v>
      </c>
      <c r="I2987" s="2" t="s">
        <v>7374</v>
      </c>
      <c r="J2987" s="3" t="str">
        <f>HYPERLINK("https://www.boe.es/gazeta/dias/1819/08/24/pdfs/GMD-1819-102.pdf#page=8","Abrir facsímil")</f>
        <v>Abrir facsímil</v>
      </c>
      <c r="K2987" s="3" t="s">
        <v>67</v>
      </c>
    </row>
    <row r="2988" spans="1:11" ht="42" customHeight="1">
      <c r="A2988" s="2" t="s">
        <v>7375</v>
      </c>
      <c r="B2988" s="2" t="s">
        <v>7376</v>
      </c>
      <c r="C2988" s="2" t="s">
        <v>80</v>
      </c>
      <c r="D2988" s="2" t="s">
        <v>81</v>
      </c>
      <c r="E2988" s="5">
        <v>-29568</v>
      </c>
      <c r="F2988" s="3" t="s">
        <v>966</v>
      </c>
      <c r="G2988" s="3" t="s">
        <v>28</v>
      </c>
      <c r="H2988" s="2" t="s">
        <v>65</v>
      </c>
      <c r="I2988" s="2" t="s">
        <v>7377</v>
      </c>
      <c r="J2988" s="3" t="str">
        <f>HYPERLINK("https://www.boe.es/gazeta/dias/1819/01/16/pdfs/GMD-1819-7.pdf#page=8","Abrir facsímil")</f>
        <v>Abrir facsímil</v>
      </c>
      <c r="K2988" s="3" t="s">
        <v>67</v>
      </c>
    </row>
    <row r="2989" spans="1:11" ht="42" customHeight="1">
      <c r="A2989" s="2" t="s">
        <v>7378</v>
      </c>
      <c r="B2989" s="2" t="s">
        <v>7379</v>
      </c>
      <c r="C2989" s="2" t="s">
        <v>17</v>
      </c>
      <c r="D2989" s="2" t="s">
        <v>18</v>
      </c>
      <c r="E2989" s="5">
        <v>-29530</v>
      </c>
      <c r="F2989" s="3" t="s">
        <v>202</v>
      </c>
      <c r="G2989" s="3" t="s">
        <v>20</v>
      </c>
      <c r="H2989" s="2" t="s">
        <v>65</v>
      </c>
      <c r="I2989" s="2" t="s">
        <v>7380</v>
      </c>
      <c r="J2989" s="3" t="str">
        <f>HYPERLINK("https://www.boe.es/gazeta/dias/1819/02/23/pdfs/GMD-1819-23.pdf#page=10","Abrir facsímil")</f>
        <v>Abrir facsímil</v>
      </c>
      <c r="K2989" s="3" t="s">
        <v>67</v>
      </c>
    </row>
    <row r="2990" spans="1:11" ht="42" customHeight="1">
      <c r="A2990" s="2" t="s">
        <v>7381</v>
      </c>
      <c r="B2990" s="2" t="s">
        <v>7381</v>
      </c>
      <c r="C2990" s="2" t="s">
        <v>63</v>
      </c>
      <c r="D2990" s="2" t="s">
        <v>43</v>
      </c>
      <c r="E2990" s="5">
        <v>-29369</v>
      </c>
      <c r="F2990" s="3" t="s">
        <v>231</v>
      </c>
      <c r="G2990" s="3" t="s">
        <v>102</v>
      </c>
      <c r="H2990" s="2" t="s">
        <v>65</v>
      </c>
      <c r="I2990" s="2" t="s">
        <v>7382</v>
      </c>
      <c r="J2990" s="3" t="str">
        <f>HYPERLINK("https://www.boe.es/gazeta/dias/1819/08/03/pdfs/GMD-1819-93.pdf#page=3","Abrir facsímil")</f>
        <v>Abrir facsímil</v>
      </c>
      <c r="K2990" s="3" t="s">
        <v>67</v>
      </c>
    </row>
    <row r="2991" spans="1:11" ht="42" customHeight="1">
      <c r="A2991" s="2" t="s">
        <v>7383</v>
      </c>
      <c r="B2991" s="2" t="s">
        <v>7384</v>
      </c>
      <c r="C2991" s="2" t="s">
        <v>63</v>
      </c>
      <c r="D2991" s="2" t="s">
        <v>43</v>
      </c>
      <c r="E2991" s="5">
        <v>-29281</v>
      </c>
      <c r="F2991" s="3" t="s">
        <v>19</v>
      </c>
      <c r="G2991" s="3" t="s">
        <v>55</v>
      </c>
      <c r="H2991" s="2" t="s">
        <v>65</v>
      </c>
      <c r="I2991" s="2" t="s">
        <v>7385</v>
      </c>
      <c r="J2991" s="3" t="str">
        <f>HYPERLINK("https://www.boe.es/gazeta/dias/1819/10/30/pdfs/GMD-1819-134.pdf#page=7","Abrir facsímil")</f>
        <v>Abrir facsímil</v>
      </c>
      <c r="K2991" s="3" t="s">
        <v>67</v>
      </c>
    </row>
    <row r="2992" spans="1:11" ht="42" customHeight="1">
      <c r="A2992" s="2" t="s">
        <v>7386</v>
      </c>
      <c r="B2992" s="2" t="s">
        <v>7386</v>
      </c>
      <c r="C2992" s="2" t="s">
        <v>136</v>
      </c>
      <c r="D2992" s="2" t="s">
        <v>18</v>
      </c>
      <c r="E2992" s="5">
        <v>-29367</v>
      </c>
      <c r="F2992" s="3" t="s">
        <v>571</v>
      </c>
      <c r="G2992" s="3" t="s">
        <v>296</v>
      </c>
      <c r="H2992" s="2" t="s">
        <v>65</v>
      </c>
      <c r="I2992" s="2" t="s">
        <v>7387</v>
      </c>
      <c r="J2992" s="3" t="str">
        <f>HYPERLINK("https://www.boe.es/gazeta/dias/1819/08/05/pdfs/GMD-1819-94.pdf#page=4","Abrir facsímil")</f>
        <v>Abrir facsímil</v>
      </c>
      <c r="K2992" s="3" t="s">
        <v>67</v>
      </c>
    </row>
    <row r="2993" spans="1:11" ht="42" customHeight="1">
      <c r="A2993" s="2" t="s">
        <v>7388</v>
      </c>
      <c r="B2993" s="2" t="s">
        <v>7389</v>
      </c>
      <c r="C2993" s="2" t="s">
        <v>80</v>
      </c>
      <c r="D2993" s="2" t="s">
        <v>81</v>
      </c>
      <c r="E2993" s="5">
        <v>-29481</v>
      </c>
      <c r="F2993" s="3" t="s">
        <v>1504</v>
      </c>
      <c r="G2993" s="3" t="s">
        <v>28</v>
      </c>
      <c r="H2993" s="2" t="s">
        <v>21</v>
      </c>
      <c r="I2993" s="2" t="s">
        <v>7390</v>
      </c>
      <c r="J2993" s="3" t="str">
        <f>HYPERLINK("https://www.boe.es/gazeta/dias/1819/04/13/pdfs/GMD-1819-44.pdf#page=8","Abrir facsímil")</f>
        <v>Abrir facsímil</v>
      </c>
      <c r="K2993" s="3" t="s">
        <v>23</v>
      </c>
    </row>
    <row r="2994" spans="1:11" ht="42" customHeight="1">
      <c r="A2994" s="2" t="s">
        <v>7391</v>
      </c>
      <c r="B2994" s="2" t="s">
        <v>7392</v>
      </c>
      <c r="C2994" s="2" t="s">
        <v>80</v>
      </c>
      <c r="D2994" s="2" t="s">
        <v>81</v>
      </c>
      <c r="E2994" s="5">
        <v>-29537</v>
      </c>
      <c r="F2994" s="3" t="s">
        <v>593</v>
      </c>
      <c r="G2994" s="3" t="s">
        <v>28</v>
      </c>
      <c r="H2994" s="2" t="s">
        <v>65</v>
      </c>
      <c r="I2994" s="2" t="s">
        <v>7393</v>
      </c>
      <c r="J2994" s="3" t="str">
        <f>HYPERLINK("https://www.boe.es/gazeta/dias/1819/02/16/pdfs/GMD-1819-20.pdf#page=8","Abrir facsímil")</f>
        <v>Abrir facsímil</v>
      </c>
      <c r="K2994" s="3" t="s">
        <v>67</v>
      </c>
    </row>
    <row r="2995" spans="1:11" ht="42" customHeight="1">
      <c r="A2995" s="2" t="s">
        <v>7394</v>
      </c>
      <c r="B2995" s="2" t="s">
        <v>7394</v>
      </c>
      <c r="C2995" s="2" t="s">
        <v>80</v>
      </c>
      <c r="D2995" s="2" t="s">
        <v>81</v>
      </c>
      <c r="E2995" s="5">
        <v>-29334</v>
      </c>
      <c r="F2995" s="3" t="s">
        <v>3082</v>
      </c>
      <c r="G2995" s="3" t="s">
        <v>6551</v>
      </c>
      <c r="H2995" s="2" t="s">
        <v>65</v>
      </c>
      <c r="I2995" s="2" t="s">
        <v>7395</v>
      </c>
      <c r="J2995" s="3" t="str">
        <f>HYPERLINK("https://www.boe.es/gazeta/dias/1819/09/07/pdfs/GMD-1819-109.pdf#page=4","Abrir facsímil")</f>
        <v>Abrir facsímil</v>
      </c>
      <c r="K2995" s="3" t="s">
        <v>67</v>
      </c>
    </row>
    <row r="2996" spans="1:11" ht="42" customHeight="1">
      <c r="A2996" s="2" t="s">
        <v>7396</v>
      </c>
      <c r="B2996" s="2" t="s">
        <v>7397</v>
      </c>
      <c r="C2996" s="2" t="s">
        <v>26</v>
      </c>
      <c r="D2996" s="2" t="s">
        <v>454</v>
      </c>
      <c r="E2996" s="5">
        <v>-29287</v>
      </c>
      <c r="F2996" s="3" t="s">
        <v>455</v>
      </c>
      <c r="G2996" s="3" t="s">
        <v>20</v>
      </c>
      <c r="H2996" s="2" t="s">
        <v>65</v>
      </c>
      <c r="I2996" s="2" t="s">
        <v>7398</v>
      </c>
      <c r="J2996" s="3" t="str">
        <f>HYPERLINK("https://www.boe.es/gazeta/dias/1819/10/24/pdfs/GMD-1819-131E.pdf#page=10","Abrir facsímil")</f>
        <v>Abrir facsímil</v>
      </c>
      <c r="K2996" s="3" t="s">
        <v>67</v>
      </c>
    </row>
    <row r="2997" spans="1:11" ht="42" customHeight="1">
      <c r="A2997" s="2" t="s">
        <v>7399</v>
      </c>
      <c r="B2997" s="2" t="s">
        <v>7400</v>
      </c>
      <c r="C2997" s="2" t="s">
        <v>80</v>
      </c>
      <c r="D2997" s="2" t="s">
        <v>81</v>
      </c>
      <c r="E2997" s="5">
        <v>-29369</v>
      </c>
      <c r="F2997" s="3" t="s">
        <v>231</v>
      </c>
      <c r="G2997" s="3" t="s">
        <v>232</v>
      </c>
      <c r="H2997" s="2" t="s">
        <v>65</v>
      </c>
      <c r="I2997" s="2" t="s">
        <v>7401</v>
      </c>
      <c r="J2997" s="3" t="str">
        <f>HYPERLINK("https://www.boe.es/gazeta/dias/1819/08/03/pdfs/GMD-1819-93.pdf#page=5","Abrir facsímil")</f>
        <v>Abrir facsímil</v>
      </c>
      <c r="K2997" s="3" t="s">
        <v>67</v>
      </c>
    </row>
    <row r="2998" spans="1:11" ht="42" customHeight="1">
      <c r="A2998" s="2" t="s">
        <v>7402</v>
      </c>
      <c r="B2998" s="2" t="s">
        <v>7403</v>
      </c>
      <c r="C2998" s="2" t="s">
        <v>17</v>
      </c>
      <c r="D2998" s="2" t="s">
        <v>18</v>
      </c>
      <c r="E2998" s="5">
        <v>-29269</v>
      </c>
      <c r="F2998" s="3" t="s">
        <v>565</v>
      </c>
      <c r="G2998" s="3" t="s">
        <v>38</v>
      </c>
      <c r="H2998" s="2" t="s">
        <v>65</v>
      </c>
      <c r="I2998" s="2" t="s">
        <v>7404</v>
      </c>
      <c r="J2998" s="3" t="str">
        <f>HYPERLINK("https://www.boe.es/gazeta/dias/1819/11/11/pdfs/GMD-1819-139.pdf#page=5","Abrir facsímil")</f>
        <v>Abrir facsímil</v>
      </c>
      <c r="K2998" s="3" t="s">
        <v>67</v>
      </c>
    </row>
    <row r="2999" spans="1:11" ht="42" customHeight="1">
      <c r="A2999" s="2" t="s">
        <v>7405</v>
      </c>
      <c r="B2999" s="2" t="s">
        <v>7405</v>
      </c>
      <c r="C2999" s="2" t="s">
        <v>63</v>
      </c>
      <c r="D2999" s="2" t="s">
        <v>43</v>
      </c>
      <c r="E2999" s="5">
        <v>-29533</v>
      </c>
      <c r="F2999" s="3" t="s">
        <v>280</v>
      </c>
      <c r="G2999" s="3" t="s">
        <v>38</v>
      </c>
      <c r="H2999" s="2" t="s">
        <v>65</v>
      </c>
      <c r="I2999" s="2" t="s">
        <v>7406</v>
      </c>
      <c r="J2999" s="3" t="str">
        <f>HYPERLINK("https://www.boe.es/gazeta/dias/1819/02/20/pdfs/GMD-1819-22.pdf#page=5","Abrir facsímil")</f>
        <v>Abrir facsímil</v>
      </c>
      <c r="K2999" s="3" t="s">
        <v>67</v>
      </c>
    </row>
    <row r="3000" spans="1:11" ht="42" customHeight="1">
      <c r="A3000" s="2" t="s">
        <v>7407</v>
      </c>
      <c r="B3000" s="2" t="s">
        <v>7408</v>
      </c>
      <c r="C3000" s="2" t="s">
        <v>136</v>
      </c>
      <c r="D3000" s="2" t="s">
        <v>18</v>
      </c>
      <c r="E3000" s="5">
        <v>-29372</v>
      </c>
      <c r="F3000" s="3" t="s">
        <v>715</v>
      </c>
      <c r="G3000" s="3" t="s">
        <v>28</v>
      </c>
      <c r="H3000" s="2" t="s">
        <v>65</v>
      </c>
      <c r="I3000" s="2" t="s">
        <v>7409</v>
      </c>
      <c r="J3000" s="3" t="str">
        <f>HYPERLINK("https://www.boe.es/gazeta/dias/1819/07/31/pdfs/GMD-1819-92.pdf#page=8","Abrir facsímil")</f>
        <v>Abrir facsímil</v>
      </c>
      <c r="K3000" s="3" t="s">
        <v>67</v>
      </c>
    </row>
    <row r="3001" spans="1:11" ht="42" customHeight="1">
      <c r="A3001" s="2" t="s">
        <v>7410</v>
      </c>
      <c r="B3001" s="2" t="s">
        <v>7411</v>
      </c>
      <c r="C3001" s="2" t="s">
        <v>59</v>
      </c>
      <c r="D3001" s="2" t="s">
        <v>18</v>
      </c>
      <c r="E3001" s="5">
        <v>-29337</v>
      </c>
      <c r="F3001" s="3" t="s">
        <v>1098</v>
      </c>
      <c r="G3001" s="3" t="s">
        <v>38</v>
      </c>
      <c r="H3001" s="2" t="s">
        <v>65</v>
      </c>
      <c r="I3001" s="2" t="s">
        <v>7412</v>
      </c>
      <c r="J3001" s="3" t="str">
        <f>HYPERLINK("https://www.boe.es/gazeta/dias/1819/09/04/pdfs/GMD-1819-108.pdf#page=5","Abrir facsímil")</f>
        <v>Abrir facsímil</v>
      </c>
      <c r="K3001" s="3" t="s">
        <v>67</v>
      </c>
    </row>
    <row r="3002" spans="1:11" ht="42" customHeight="1">
      <c r="A3002" s="2" t="s">
        <v>7413</v>
      </c>
      <c r="B3002" s="2" t="s">
        <v>7414</v>
      </c>
      <c r="C3002" s="2" t="s">
        <v>63</v>
      </c>
      <c r="D3002" s="2" t="s">
        <v>43</v>
      </c>
      <c r="E3002" s="5">
        <v>-29325</v>
      </c>
      <c r="F3002" s="3" t="s">
        <v>174</v>
      </c>
      <c r="G3002" s="3" t="s">
        <v>33</v>
      </c>
      <c r="H3002" s="2" t="s">
        <v>65</v>
      </c>
      <c r="I3002" s="2" t="s">
        <v>7415</v>
      </c>
      <c r="J3002" s="3" t="str">
        <f>HYPERLINK("https://www.boe.es/gazeta/dias/1819/09/16/pdfs/GMD-1819-113.pdf#page=6","Abrir facsímil")</f>
        <v>Abrir facsímil</v>
      </c>
      <c r="K3002" s="3" t="s">
        <v>67</v>
      </c>
    </row>
    <row r="3003" spans="1:11" ht="42" customHeight="1">
      <c r="A3003" s="2" t="s">
        <v>7416</v>
      </c>
      <c r="B3003" s="2" t="s">
        <v>7417</v>
      </c>
      <c r="C3003" s="2" t="s">
        <v>59</v>
      </c>
      <c r="D3003" s="2" t="s">
        <v>18</v>
      </c>
      <c r="E3003" s="5">
        <v>-29507</v>
      </c>
      <c r="F3003" s="3" t="s">
        <v>1928</v>
      </c>
      <c r="G3003" s="3" t="s">
        <v>38</v>
      </c>
      <c r="H3003" s="2" t="s">
        <v>65</v>
      </c>
      <c r="I3003" s="2" t="s">
        <v>7418</v>
      </c>
      <c r="J3003" s="3" t="str">
        <f>HYPERLINK("https://www.boe.es/gazeta/dias/1819/03/18/pdfs/GMD-1819-33.pdf#page=5","Abrir facsímil")</f>
        <v>Abrir facsímil</v>
      </c>
      <c r="K3003" s="3" t="s">
        <v>67</v>
      </c>
    </row>
    <row r="3004" spans="1:11" ht="42" customHeight="1">
      <c r="A3004" s="2" t="s">
        <v>7419</v>
      </c>
      <c r="B3004" s="2" t="s">
        <v>7420</v>
      </c>
      <c r="C3004" s="2" t="s">
        <v>80</v>
      </c>
      <c r="D3004" s="2" t="s">
        <v>81</v>
      </c>
      <c r="E3004" s="5">
        <v>-29297</v>
      </c>
      <c r="F3004" s="3" t="s">
        <v>82</v>
      </c>
      <c r="G3004" s="3" t="s">
        <v>33</v>
      </c>
      <c r="H3004" s="2" t="s">
        <v>65</v>
      </c>
      <c r="I3004" s="2" t="s">
        <v>7421</v>
      </c>
      <c r="J3004" s="3" t="str">
        <f>HYPERLINK("https://www.boe.es/gazeta/dias/1819/10/14/pdfs/GMD-1819-126.pdf#page=6","Abrir facsímil")</f>
        <v>Abrir facsímil</v>
      </c>
      <c r="K3004" s="3" t="s">
        <v>67</v>
      </c>
    </row>
    <row r="3005" spans="1:11" ht="42" customHeight="1">
      <c r="A3005" s="2" t="s">
        <v>7422</v>
      </c>
      <c r="B3005" s="2" t="s">
        <v>7423</v>
      </c>
      <c r="C3005" s="2" t="s">
        <v>215</v>
      </c>
      <c r="D3005" s="2" t="s">
        <v>18</v>
      </c>
      <c r="E3005" s="5">
        <v>-29544</v>
      </c>
      <c r="F3005" s="3" t="s">
        <v>531</v>
      </c>
      <c r="G3005" s="3" t="s">
        <v>532</v>
      </c>
      <c r="H3005" s="2" t="s">
        <v>65</v>
      </c>
      <c r="I3005" s="2" t="s">
        <v>7424</v>
      </c>
      <c r="J3005" s="3" t="str">
        <f>HYPERLINK("https://www.boe.es/gazeta/dias/1819/02/09/pdfs/GMD-1819-17.pdf#page=8","Abrir facsímil")</f>
        <v>Abrir facsímil</v>
      </c>
      <c r="K3005" s="3" t="s">
        <v>67</v>
      </c>
    </row>
    <row r="3006" spans="1:11" ht="42" customHeight="1">
      <c r="A3006" s="2" t="s">
        <v>7425</v>
      </c>
      <c r="B3006" s="2" t="s">
        <v>7426</v>
      </c>
      <c r="C3006" s="2" t="s">
        <v>59</v>
      </c>
      <c r="D3006" s="2" t="s">
        <v>18</v>
      </c>
      <c r="E3006" s="5">
        <v>-29292</v>
      </c>
      <c r="F3006" s="3" t="s">
        <v>875</v>
      </c>
      <c r="G3006" s="3" t="s">
        <v>28</v>
      </c>
      <c r="H3006" s="2" t="s">
        <v>65</v>
      </c>
      <c r="I3006" s="2" t="s">
        <v>7427</v>
      </c>
      <c r="J3006" s="3" t="str">
        <f>HYPERLINK("https://www.boe.es/gazeta/dias/1819/10/19/pdfs/GMD-1819-128.pdf#page=8","Abrir facsímil")</f>
        <v>Abrir facsímil</v>
      </c>
      <c r="K3006" s="3" t="s">
        <v>67</v>
      </c>
    </row>
    <row r="3007" spans="1:11" ht="42" customHeight="1">
      <c r="A3007" s="2" t="s">
        <v>7428</v>
      </c>
      <c r="B3007" s="2" t="s">
        <v>7429</v>
      </c>
      <c r="C3007" s="2" t="s">
        <v>80</v>
      </c>
      <c r="D3007" s="2" t="s">
        <v>81</v>
      </c>
      <c r="E3007" s="5">
        <v>-29246</v>
      </c>
      <c r="F3007" s="3" t="s">
        <v>494</v>
      </c>
      <c r="G3007" s="3" t="s">
        <v>1726</v>
      </c>
      <c r="H3007" s="2" t="s">
        <v>65</v>
      </c>
      <c r="I3007" s="2" t="s">
        <v>7430</v>
      </c>
      <c r="J3007" s="3" t="str">
        <f>HYPERLINK("https://www.boe.es/gazeta/dias/1819/12/04/pdfs/GMD-1819-149.pdf#page=7","Abrir facsímil")</f>
        <v>Abrir facsímil</v>
      </c>
      <c r="K3007" s="3" t="s">
        <v>67</v>
      </c>
    </row>
    <row r="3008" spans="1:11" ht="42" customHeight="1">
      <c r="A3008" s="2" t="s">
        <v>7431</v>
      </c>
      <c r="B3008" s="2" t="s">
        <v>7432</v>
      </c>
      <c r="C3008" s="2" t="s">
        <v>80</v>
      </c>
      <c r="D3008" s="2" t="s">
        <v>81</v>
      </c>
      <c r="E3008" s="5">
        <v>-29264</v>
      </c>
      <c r="F3008" s="3" t="s">
        <v>37</v>
      </c>
      <c r="G3008" s="3" t="s">
        <v>1794</v>
      </c>
      <c r="H3008" s="2" t="s">
        <v>65</v>
      </c>
      <c r="I3008" s="2" t="s">
        <v>7433</v>
      </c>
      <c r="J3008" s="3" t="str">
        <f>HYPERLINK("https://www.boe.es/gazeta/dias/1819/11/16/pdfs/GMD-1819-141.pdf#page=11","Abrir facsímil")</f>
        <v>Abrir facsímil</v>
      </c>
      <c r="K3008" s="3" t="s">
        <v>67</v>
      </c>
    </row>
    <row r="3009" spans="1:11" ht="42" customHeight="1">
      <c r="A3009" s="2" t="s">
        <v>7434</v>
      </c>
      <c r="B3009" s="2" t="s">
        <v>7435</v>
      </c>
      <c r="C3009" s="2" t="s">
        <v>63</v>
      </c>
      <c r="D3009" s="2" t="s">
        <v>43</v>
      </c>
      <c r="E3009" s="5">
        <v>-29225</v>
      </c>
      <c r="F3009" s="3" t="s">
        <v>472</v>
      </c>
      <c r="G3009" s="3" t="s">
        <v>38</v>
      </c>
      <c r="H3009" s="2" t="s">
        <v>21</v>
      </c>
      <c r="I3009" s="2" t="s">
        <v>7436</v>
      </c>
      <c r="J3009" s="3" t="str">
        <f>HYPERLINK("https://www.boe.es/gazeta/dias/1819/12/25/pdfs/GMD-1819-158.pdf#page=5","Abrir facsímil")</f>
        <v>Abrir facsímil</v>
      </c>
      <c r="K3009" s="3" t="s">
        <v>23</v>
      </c>
    </row>
    <row r="3010" spans="1:11" ht="42" customHeight="1">
      <c r="A3010" s="2" t="s">
        <v>7437</v>
      </c>
      <c r="B3010" s="2" t="s">
        <v>7438</v>
      </c>
      <c r="C3010" s="2" t="s">
        <v>80</v>
      </c>
      <c r="D3010" s="2" t="s">
        <v>81</v>
      </c>
      <c r="E3010" s="5">
        <v>-29512</v>
      </c>
      <c r="F3010" s="3" t="s">
        <v>741</v>
      </c>
      <c r="G3010" s="3" t="s">
        <v>28</v>
      </c>
      <c r="H3010" s="2" t="s">
        <v>21</v>
      </c>
      <c r="I3010" s="2" t="s">
        <v>7439</v>
      </c>
      <c r="J3010" s="3" t="str">
        <f>HYPERLINK("https://www.boe.es/gazeta/dias/1819/03/13/pdfs/GMD-1819-31.pdf#page=8","Abrir facsímil")</f>
        <v>Abrir facsímil</v>
      </c>
      <c r="K3010" s="3" t="s">
        <v>23</v>
      </c>
    </row>
    <row r="3011" spans="1:11" ht="42" customHeight="1">
      <c r="A3011" s="2" t="s">
        <v>7440</v>
      </c>
      <c r="B3011" s="2" t="s">
        <v>7441</v>
      </c>
      <c r="C3011" s="2" t="s">
        <v>63</v>
      </c>
      <c r="D3011" s="2" t="s">
        <v>43</v>
      </c>
      <c r="E3011" s="5">
        <v>-29444</v>
      </c>
      <c r="F3011" s="3" t="s">
        <v>258</v>
      </c>
      <c r="G3011" s="3" t="s">
        <v>259</v>
      </c>
      <c r="H3011" s="2" t="s">
        <v>21</v>
      </c>
      <c r="I3011" s="2" t="s">
        <v>7442</v>
      </c>
      <c r="J3011" s="3" t="str">
        <f>HYPERLINK("https://www.boe.es/gazeta/dias/1819/05/20/pdfs/GMD-1819-60.pdf#page=2","Abrir facsímil")</f>
        <v>Abrir facsímil</v>
      </c>
      <c r="K3011" s="3" t="s">
        <v>23</v>
      </c>
    </row>
    <row r="3012" spans="1:11" ht="42" customHeight="1">
      <c r="A3012" s="2" t="s">
        <v>7443</v>
      </c>
      <c r="B3012" s="2" t="s">
        <v>7444</v>
      </c>
      <c r="C3012" s="2" t="s">
        <v>63</v>
      </c>
      <c r="D3012" s="2" t="s">
        <v>43</v>
      </c>
      <c r="E3012" s="5">
        <v>-29379</v>
      </c>
      <c r="F3012" s="3" t="s">
        <v>161</v>
      </c>
      <c r="G3012" s="3" t="s">
        <v>33</v>
      </c>
      <c r="H3012" s="2" t="s">
        <v>65</v>
      </c>
      <c r="I3012" s="2" t="s">
        <v>7445</v>
      </c>
      <c r="J3012" s="3" t="str">
        <f>HYPERLINK("https://www.boe.es/gazeta/dias/1819/07/24/pdfs/GMD-1819-89.pdf#page=6","Abrir facsímil")</f>
        <v>Abrir facsímil</v>
      </c>
      <c r="K3012" s="3" t="s">
        <v>67</v>
      </c>
    </row>
    <row r="3013" spans="1:11" ht="42" customHeight="1">
      <c r="A3013" s="2" t="s">
        <v>7446</v>
      </c>
      <c r="B3013" s="2" t="s">
        <v>7447</v>
      </c>
      <c r="C3013" s="2" t="s">
        <v>59</v>
      </c>
      <c r="D3013" s="2" t="s">
        <v>18</v>
      </c>
      <c r="E3013" s="5">
        <v>-29358</v>
      </c>
      <c r="F3013" s="3" t="s">
        <v>170</v>
      </c>
      <c r="G3013" s="3" t="s">
        <v>38</v>
      </c>
      <c r="H3013" s="2" t="s">
        <v>65</v>
      </c>
      <c r="I3013" s="2" t="s">
        <v>7448</v>
      </c>
      <c r="J3013" s="3" t="str">
        <f>HYPERLINK("https://www.boe.es/gazeta/dias/1819/08/14/pdfs/GMD-1819-98.pdf#page=5","Abrir facsímil")</f>
        <v>Abrir facsímil</v>
      </c>
      <c r="K3013" s="3" t="s">
        <v>67</v>
      </c>
    </row>
    <row r="3014" spans="1:11" ht="42" customHeight="1">
      <c r="A3014" s="2" t="s">
        <v>7449</v>
      </c>
      <c r="B3014" s="2" t="s">
        <v>7449</v>
      </c>
      <c r="C3014" s="2" t="s">
        <v>80</v>
      </c>
      <c r="D3014" s="2" t="s">
        <v>81</v>
      </c>
      <c r="E3014" s="5">
        <v>-29570</v>
      </c>
      <c r="F3014" s="3" t="s">
        <v>2008</v>
      </c>
      <c r="G3014" s="3" t="s">
        <v>38</v>
      </c>
      <c r="H3014" s="2" t="s">
        <v>65</v>
      </c>
      <c r="I3014" s="2" t="s">
        <v>7450</v>
      </c>
      <c r="J3014" s="3" t="str">
        <f>HYPERLINK("https://www.boe.es/gazeta/dias/1819/01/14/pdfs/GMD-1819-6.pdf#page=5","Abrir facsímil")</f>
        <v>Abrir facsímil</v>
      </c>
      <c r="K3014" s="3" t="s">
        <v>67</v>
      </c>
    </row>
    <row r="3015" spans="1:11" ht="42" customHeight="1">
      <c r="A3015" s="2" t="s">
        <v>7451</v>
      </c>
      <c r="B3015" s="2" t="s">
        <v>7451</v>
      </c>
      <c r="C3015" s="2" t="s">
        <v>80</v>
      </c>
      <c r="D3015" s="2" t="s">
        <v>81</v>
      </c>
      <c r="E3015" s="5">
        <v>-29502</v>
      </c>
      <c r="F3015" s="3" t="s">
        <v>86</v>
      </c>
      <c r="G3015" s="3" t="s">
        <v>2658</v>
      </c>
      <c r="H3015" s="2" t="s">
        <v>65</v>
      </c>
      <c r="I3015" s="2" t="s">
        <v>7452</v>
      </c>
      <c r="J3015" s="3" t="str">
        <f>HYPERLINK("https://www.boe.es/gazeta/dias/1819/03/23/pdfs/GMD-1819-35.pdf#page=4","Abrir facsímil")</f>
        <v>Abrir facsímil</v>
      </c>
      <c r="K3015" s="3" t="s">
        <v>67</v>
      </c>
    </row>
    <row r="3016" spans="1:11" ht="42" customHeight="1">
      <c r="A3016" s="2" t="s">
        <v>7453</v>
      </c>
      <c r="B3016" s="2" t="s">
        <v>7454</v>
      </c>
      <c r="C3016" s="2" t="s">
        <v>63</v>
      </c>
      <c r="D3016" s="2" t="s">
        <v>43</v>
      </c>
      <c r="E3016" s="5">
        <v>-29393</v>
      </c>
      <c r="F3016" s="3" t="s">
        <v>536</v>
      </c>
      <c r="G3016" s="3" t="s">
        <v>28</v>
      </c>
      <c r="H3016" s="2" t="s">
        <v>65</v>
      </c>
      <c r="I3016" s="2" t="s">
        <v>7455</v>
      </c>
      <c r="J3016" s="3" t="str">
        <f>HYPERLINK("https://www.boe.es/gazeta/dias/1819/07/10/pdfs/GMD-1819-83.pdf#page=8","Abrir facsímil")</f>
        <v>Abrir facsímil</v>
      </c>
      <c r="K3016" s="3" t="s">
        <v>67</v>
      </c>
    </row>
    <row r="3017" spans="1:11" ht="42" customHeight="1">
      <c r="A3017" s="2" t="s">
        <v>7456</v>
      </c>
      <c r="B3017" s="2" t="s">
        <v>7457</v>
      </c>
      <c r="C3017" s="2" t="s">
        <v>59</v>
      </c>
      <c r="D3017" s="2" t="s">
        <v>18</v>
      </c>
      <c r="E3017" s="5">
        <v>-29449</v>
      </c>
      <c r="F3017" s="3" t="s">
        <v>771</v>
      </c>
      <c r="G3017" s="3" t="s">
        <v>28</v>
      </c>
      <c r="H3017" s="2" t="s">
        <v>21</v>
      </c>
      <c r="I3017" s="2" t="s">
        <v>7458</v>
      </c>
      <c r="J3017" s="3" t="str">
        <f>HYPERLINK("https://www.boe.es/gazeta/dias/1819/05/15/pdfs/GMD-1819-58.pdf#page=8","Abrir facsímil")</f>
        <v>Abrir facsímil</v>
      </c>
      <c r="K3017" s="3" t="s">
        <v>23</v>
      </c>
    </row>
    <row r="3018" spans="1:11" ht="42" customHeight="1">
      <c r="A3018" s="2" t="s">
        <v>7459</v>
      </c>
      <c r="B3018" s="2" t="s">
        <v>7460</v>
      </c>
      <c r="C3018" s="2" t="s">
        <v>59</v>
      </c>
      <c r="D3018" s="2" t="s">
        <v>18</v>
      </c>
      <c r="E3018" s="5">
        <v>-29250</v>
      </c>
      <c r="F3018" s="3" t="s">
        <v>312</v>
      </c>
      <c r="G3018" s="3" t="s">
        <v>4391</v>
      </c>
      <c r="H3018" s="2" t="s">
        <v>65</v>
      </c>
      <c r="I3018" s="2" t="s">
        <v>7461</v>
      </c>
      <c r="J3018" s="3" t="str">
        <f>HYPERLINK("https://www.boe.es/gazeta/dias/1819/11/30/pdfs/GMD-1819-147.pdf#page=7","Abrir facsímil")</f>
        <v>Abrir facsímil</v>
      </c>
      <c r="K3018" s="3" t="s">
        <v>67</v>
      </c>
    </row>
    <row r="3019" spans="1:11" ht="42" customHeight="1">
      <c r="A3019" s="2" t="s">
        <v>7462</v>
      </c>
      <c r="B3019" s="2" t="s">
        <v>7462</v>
      </c>
      <c r="C3019" s="2" t="s">
        <v>80</v>
      </c>
      <c r="D3019" s="2" t="s">
        <v>81</v>
      </c>
      <c r="E3019" s="5">
        <v>-29374</v>
      </c>
      <c r="F3019" s="3" t="s">
        <v>204</v>
      </c>
      <c r="G3019" s="3" t="s">
        <v>239</v>
      </c>
      <c r="H3019" s="2" t="s">
        <v>65</v>
      </c>
      <c r="I3019" s="2" t="s">
        <v>7463</v>
      </c>
      <c r="J3019" s="3" t="str">
        <f>HYPERLINK("https://www.boe.es/gazeta/dias/1819/07/29/pdfs/GMD-1819-91.pdf#page=1","Abrir facsímil")</f>
        <v>Abrir facsímil</v>
      </c>
      <c r="K3019" s="3" t="s">
        <v>67</v>
      </c>
    </row>
    <row r="3020" spans="1:11" ht="42" customHeight="1">
      <c r="A3020" s="2" t="s">
        <v>7464</v>
      </c>
      <c r="B3020" s="2" t="s">
        <v>7465</v>
      </c>
      <c r="C3020" s="2" t="s">
        <v>80</v>
      </c>
      <c r="D3020" s="2" t="s">
        <v>81</v>
      </c>
      <c r="E3020" s="5">
        <v>-29437</v>
      </c>
      <c r="F3020" s="3" t="s">
        <v>1147</v>
      </c>
      <c r="G3020" s="3" t="s">
        <v>38</v>
      </c>
      <c r="H3020" s="2" t="s">
        <v>65</v>
      </c>
      <c r="I3020" s="2" t="s">
        <v>7466</v>
      </c>
      <c r="J3020" s="3" t="str">
        <f>HYPERLINK("https://www.boe.es/gazeta/dias/1819/05/27/pdfs/GMD-1819-63.pdf#page=5","Abrir facsímil")</f>
        <v>Abrir facsímil</v>
      </c>
      <c r="K3020" s="3" t="s">
        <v>67</v>
      </c>
    </row>
    <row r="3021" spans="1:11" ht="42" customHeight="1">
      <c r="A3021" s="2" t="s">
        <v>7467</v>
      </c>
      <c r="B3021" s="2" t="s">
        <v>7468</v>
      </c>
      <c r="C3021" s="2" t="s">
        <v>59</v>
      </c>
      <c r="D3021" s="2" t="s">
        <v>18</v>
      </c>
      <c r="E3021" s="5">
        <v>-29276</v>
      </c>
      <c r="F3021" s="3" t="s">
        <v>54</v>
      </c>
      <c r="G3021" s="3" t="s">
        <v>284</v>
      </c>
      <c r="H3021" s="2" t="s">
        <v>21</v>
      </c>
      <c r="I3021" s="2" t="s">
        <v>7469</v>
      </c>
      <c r="J3021" s="3" t="str">
        <f>HYPERLINK("https://www.boe.es/gazeta/dias/1819/11/04/pdfs/GMD-1819-136.pdf#page=6","Abrir facsímil")</f>
        <v>Abrir facsímil</v>
      </c>
      <c r="K3021" s="3" t="s">
        <v>23</v>
      </c>
    </row>
    <row r="3022" spans="1:11" ht="42" customHeight="1">
      <c r="A3022" s="2" t="s">
        <v>7470</v>
      </c>
      <c r="B3022" s="2" t="s">
        <v>7471</v>
      </c>
      <c r="C3022" s="2" t="s">
        <v>80</v>
      </c>
      <c r="D3022" s="2" t="s">
        <v>81</v>
      </c>
      <c r="E3022" s="5">
        <v>-29472</v>
      </c>
      <c r="F3022" s="3" t="s">
        <v>393</v>
      </c>
      <c r="G3022" s="3" t="s">
        <v>33</v>
      </c>
      <c r="H3022" s="2" t="s">
        <v>65</v>
      </c>
      <c r="I3022" s="2" t="s">
        <v>7472</v>
      </c>
      <c r="J3022" s="3" t="str">
        <f>HYPERLINK("https://www.boe.es/gazeta/dias/1819/04/22/pdfs/GMD-1819-48.pdf#page=6","Abrir facsímil")</f>
        <v>Abrir facsímil</v>
      </c>
      <c r="K3022" s="3" t="s">
        <v>67</v>
      </c>
    </row>
    <row r="3023" spans="1:11" ht="42" customHeight="1">
      <c r="A3023" s="2" t="s">
        <v>7473</v>
      </c>
      <c r="B3023" s="2" t="s">
        <v>7474</v>
      </c>
      <c r="C3023" s="2" t="s">
        <v>80</v>
      </c>
      <c r="D3023" s="2" t="s">
        <v>81</v>
      </c>
      <c r="E3023" s="5">
        <v>-29472</v>
      </c>
      <c r="F3023" s="3" t="s">
        <v>393</v>
      </c>
      <c r="G3023" s="3" t="s">
        <v>38</v>
      </c>
      <c r="H3023" s="2" t="s">
        <v>65</v>
      </c>
      <c r="I3023" s="2" t="s">
        <v>7475</v>
      </c>
      <c r="J3023" s="3" t="str">
        <f>HYPERLINK("https://www.boe.es/gazeta/dias/1819/04/22/pdfs/GMD-1819-48.pdf#page=5","Abrir facsímil")</f>
        <v>Abrir facsímil</v>
      </c>
      <c r="K3023" s="3" t="s">
        <v>67</v>
      </c>
    </row>
    <row r="3024" spans="1:11" ht="42" customHeight="1">
      <c r="A3024" s="2" t="s">
        <v>7476</v>
      </c>
      <c r="B3024" s="2" t="s">
        <v>7477</v>
      </c>
      <c r="C3024" s="2" t="s">
        <v>63</v>
      </c>
      <c r="D3024" s="2" t="s">
        <v>43</v>
      </c>
      <c r="E3024" s="5">
        <v>-29400</v>
      </c>
      <c r="F3024" s="3" t="s">
        <v>2181</v>
      </c>
      <c r="G3024" s="3" t="s">
        <v>2182</v>
      </c>
      <c r="H3024" s="2" t="s">
        <v>65</v>
      </c>
      <c r="I3024" s="2" t="s">
        <v>7478</v>
      </c>
      <c r="J3024" s="3" t="str">
        <f>HYPERLINK("https://www.boe.es/gazeta/dias/1819/07/03/pdfs/GMD-1819-80.pdf#page=8","Abrir facsímil")</f>
        <v>Abrir facsímil</v>
      </c>
      <c r="K3024" s="3" t="s">
        <v>67</v>
      </c>
    </row>
    <row r="3025" spans="1:11" ht="42" customHeight="1">
      <c r="A3025" s="2" t="s">
        <v>7476</v>
      </c>
      <c r="B3025" s="2" t="s">
        <v>7477</v>
      </c>
      <c r="C3025" s="2" t="s">
        <v>80</v>
      </c>
      <c r="D3025" s="2" t="s">
        <v>81</v>
      </c>
      <c r="E3025" s="5">
        <v>-29299</v>
      </c>
      <c r="F3025" s="3" t="s">
        <v>798</v>
      </c>
      <c r="G3025" s="3" t="s">
        <v>1562</v>
      </c>
      <c r="H3025" s="2" t="s">
        <v>65</v>
      </c>
      <c r="I3025" s="2" t="s">
        <v>7479</v>
      </c>
      <c r="J3025" s="3" t="str">
        <f>HYPERLINK("https://www.boe.es/gazeta/dias/1819/10/12/pdfs/GMD-1819-125.pdf#page=8","Abrir facsímil")</f>
        <v>Abrir facsímil</v>
      </c>
      <c r="K3025" s="3" t="s">
        <v>67</v>
      </c>
    </row>
    <row r="3026" spans="1:11" ht="42" customHeight="1">
      <c r="A3026" s="2" t="s">
        <v>7476</v>
      </c>
      <c r="B3026" s="2" t="s">
        <v>7477</v>
      </c>
      <c r="C3026" s="2" t="s">
        <v>80</v>
      </c>
      <c r="D3026" s="2" t="s">
        <v>81</v>
      </c>
      <c r="E3026" s="5">
        <v>-29248</v>
      </c>
      <c r="F3026" s="3" t="s">
        <v>395</v>
      </c>
      <c r="G3026" s="3" t="s">
        <v>94</v>
      </c>
      <c r="H3026" s="2" t="s">
        <v>65</v>
      </c>
      <c r="I3026" s="2" t="s">
        <v>7480</v>
      </c>
      <c r="J3026" s="3" t="str">
        <f>HYPERLINK("https://www.boe.es/gazeta/dias/1819/12/02/pdfs/GMD-1819-148.pdf#page=11","Abrir facsímil")</f>
        <v>Abrir facsímil</v>
      </c>
      <c r="K3026" s="3" t="s">
        <v>67</v>
      </c>
    </row>
    <row r="3027" spans="1:11" ht="42" customHeight="1">
      <c r="A3027" s="2" t="s">
        <v>7481</v>
      </c>
      <c r="B3027" s="2" t="s">
        <v>7482</v>
      </c>
      <c r="C3027" s="2" t="s">
        <v>63</v>
      </c>
      <c r="D3027" s="2" t="s">
        <v>43</v>
      </c>
      <c r="E3027" s="5">
        <v>-29281</v>
      </c>
      <c r="F3027" s="3" t="s">
        <v>19</v>
      </c>
      <c r="G3027" s="3" t="s">
        <v>456</v>
      </c>
      <c r="H3027" s="2" t="s">
        <v>65</v>
      </c>
      <c r="I3027" s="2" t="s">
        <v>7483</v>
      </c>
      <c r="J3027" s="3" t="str">
        <f>HYPERLINK("https://www.boe.es/gazeta/dias/1819/10/30/pdfs/GMD-1819-134.pdf#page=9","Abrir facsímil")</f>
        <v>Abrir facsímil</v>
      </c>
      <c r="K3027" s="3" t="s">
        <v>67</v>
      </c>
    </row>
    <row r="3028" spans="1:11" ht="42" customHeight="1">
      <c r="A3028" s="2" t="s">
        <v>7484</v>
      </c>
      <c r="B3028" s="2" t="s">
        <v>7485</v>
      </c>
      <c r="C3028" s="2" t="s">
        <v>63</v>
      </c>
      <c r="D3028" s="2" t="s">
        <v>43</v>
      </c>
      <c r="E3028" s="5">
        <v>-29400</v>
      </c>
      <c r="F3028" s="3" t="s">
        <v>2181</v>
      </c>
      <c r="G3028" s="3" t="s">
        <v>3943</v>
      </c>
      <c r="H3028" s="2" t="s">
        <v>65</v>
      </c>
      <c r="I3028" s="2" t="s">
        <v>7486</v>
      </c>
      <c r="J3028" s="3" t="str">
        <f>HYPERLINK("https://www.boe.es/gazeta/dias/1819/07/03/pdfs/GMD-1819-80.pdf#page=6","Abrir facsímil")</f>
        <v>Abrir facsímil</v>
      </c>
      <c r="K3028" s="3" t="s">
        <v>67</v>
      </c>
    </row>
    <row r="3029" spans="1:11" ht="42" customHeight="1">
      <c r="A3029" s="2" t="s">
        <v>7487</v>
      </c>
      <c r="B3029" s="2" t="s">
        <v>7488</v>
      </c>
      <c r="C3029" s="2" t="s">
        <v>80</v>
      </c>
      <c r="D3029" s="2" t="s">
        <v>81</v>
      </c>
      <c r="E3029" s="5">
        <v>-29472</v>
      </c>
      <c r="F3029" s="3" t="s">
        <v>393</v>
      </c>
      <c r="G3029" s="3" t="s">
        <v>33</v>
      </c>
      <c r="H3029" s="2" t="s">
        <v>65</v>
      </c>
      <c r="I3029" s="2" t="s">
        <v>7489</v>
      </c>
      <c r="J3029" s="3" t="str">
        <f>HYPERLINK("https://www.boe.es/gazeta/dias/1819/04/22/pdfs/GMD-1819-48.pdf#page=6","Abrir facsímil")</f>
        <v>Abrir facsímil</v>
      </c>
      <c r="K3029" s="3" t="s">
        <v>67</v>
      </c>
    </row>
    <row r="3030" spans="1:11" ht="42" customHeight="1">
      <c r="A3030" s="2" t="s">
        <v>7490</v>
      </c>
      <c r="B3030" s="2" t="s">
        <v>7491</v>
      </c>
      <c r="C3030" s="2" t="s">
        <v>59</v>
      </c>
      <c r="D3030" s="2" t="s">
        <v>18</v>
      </c>
      <c r="E3030" s="5">
        <v>-29316</v>
      </c>
      <c r="F3030" s="3" t="s">
        <v>166</v>
      </c>
      <c r="G3030" s="3" t="s">
        <v>28</v>
      </c>
      <c r="H3030" s="2" t="s">
        <v>65</v>
      </c>
      <c r="I3030" s="2" t="s">
        <v>7492</v>
      </c>
      <c r="J3030" s="3" t="str">
        <f>HYPERLINK("https://www.boe.es/gazeta/dias/1819/09/25/pdfs/GMD-1819-118.pdf#page=8","Abrir facsímil")</f>
        <v>Abrir facsímil</v>
      </c>
      <c r="K3030" s="3" t="s">
        <v>67</v>
      </c>
    </row>
    <row r="3031" spans="1:11" ht="42" customHeight="1">
      <c r="A3031" s="2" t="s">
        <v>7493</v>
      </c>
      <c r="B3031" s="2" t="s">
        <v>7494</v>
      </c>
      <c r="C3031" s="2" t="s">
        <v>63</v>
      </c>
      <c r="D3031" s="2" t="s">
        <v>43</v>
      </c>
      <c r="E3031" s="5">
        <v>-29302</v>
      </c>
      <c r="F3031" s="3" t="s">
        <v>4877</v>
      </c>
      <c r="G3031" s="3" t="s">
        <v>4878</v>
      </c>
      <c r="H3031" s="2" t="s">
        <v>21</v>
      </c>
      <c r="I3031" s="2" t="s">
        <v>7495</v>
      </c>
      <c r="J3031" s="3" t="str">
        <f>HYPERLINK("https://www.boe.es/gazeta/dias/1819/10/09/pdfs/GMD-1819-124.pdf#page=8","Abrir facsímil")</f>
        <v>Abrir facsímil</v>
      </c>
      <c r="K3031" s="3" t="s">
        <v>23</v>
      </c>
    </row>
    <row r="3032" spans="1:11" ht="42" customHeight="1">
      <c r="A3032" s="2" t="s">
        <v>7496</v>
      </c>
      <c r="B3032" s="2" t="s">
        <v>7497</v>
      </c>
      <c r="C3032" s="2" t="s">
        <v>63</v>
      </c>
      <c r="D3032" s="2" t="s">
        <v>43</v>
      </c>
      <c r="E3032" s="5">
        <v>-29227</v>
      </c>
      <c r="F3032" s="3" t="s">
        <v>98</v>
      </c>
      <c r="G3032" s="3" t="s">
        <v>1790</v>
      </c>
      <c r="H3032" s="2" t="s">
        <v>65</v>
      </c>
      <c r="I3032" s="2" t="s">
        <v>7498</v>
      </c>
      <c r="J3032" s="3" t="str">
        <f>HYPERLINK("https://www.boe.es/gazeta/dias/1819/12/23/pdfs/GMD-1819-157.pdf#page=8","Abrir facsímil")</f>
        <v>Abrir facsímil</v>
      </c>
      <c r="K3032" s="3" t="s">
        <v>67</v>
      </c>
    </row>
    <row r="3033" spans="1:11" ht="42" customHeight="1">
      <c r="A3033" s="2" t="s">
        <v>7499</v>
      </c>
      <c r="B3033" s="2" t="s">
        <v>7500</v>
      </c>
      <c r="C3033" s="2" t="s">
        <v>63</v>
      </c>
      <c r="D3033" s="2" t="s">
        <v>43</v>
      </c>
      <c r="E3033" s="5">
        <v>-29297</v>
      </c>
      <c r="F3033" s="3" t="s">
        <v>82</v>
      </c>
      <c r="G3033" s="3" t="s">
        <v>55</v>
      </c>
      <c r="H3033" s="2" t="s">
        <v>65</v>
      </c>
      <c r="I3033" s="2" t="s">
        <v>7501</v>
      </c>
      <c r="J3033" s="3" t="str">
        <f>HYPERLINK("https://www.boe.es/gazeta/dias/1819/10/14/pdfs/GMD-1819-126.pdf#page=7","Abrir facsímil")</f>
        <v>Abrir facsímil</v>
      </c>
      <c r="K3033" s="3" t="s">
        <v>67</v>
      </c>
    </row>
    <row r="3034" spans="1:11" ht="42" customHeight="1">
      <c r="A3034" s="2" t="s">
        <v>7502</v>
      </c>
      <c r="B3034" s="2" t="s">
        <v>7503</v>
      </c>
      <c r="C3034" s="2" t="s">
        <v>63</v>
      </c>
      <c r="D3034" s="2" t="s">
        <v>43</v>
      </c>
      <c r="E3034" s="5">
        <v>-29498</v>
      </c>
      <c r="F3034" s="3" t="s">
        <v>119</v>
      </c>
      <c r="G3034" s="3" t="s">
        <v>6242</v>
      </c>
      <c r="H3034" s="2" t="s">
        <v>21</v>
      </c>
      <c r="I3034" s="2" t="s">
        <v>7504</v>
      </c>
      <c r="J3034" s="3" t="str">
        <f>HYPERLINK("https://www.boe.es/gazeta/dias/1819/03/27/pdfs/GMD-1819-37.pdf#page=7","Abrir facsímil")</f>
        <v>Abrir facsímil</v>
      </c>
      <c r="K3034" s="3" t="s">
        <v>23</v>
      </c>
    </row>
    <row r="3035" spans="1:11" ht="42" customHeight="1">
      <c r="A3035" s="2" t="s">
        <v>7502</v>
      </c>
      <c r="B3035" s="2" t="s">
        <v>7503</v>
      </c>
      <c r="C3035" s="2" t="s">
        <v>63</v>
      </c>
      <c r="D3035" s="2" t="s">
        <v>43</v>
      </c>
      <c r="E3035" s="5">
        <v>-29458</v>
      </c>
      <c r="F3035" s="3" t="s">
        <v>766</v>
      </c>
      <c r="G3035" s="3" t="s">
        <v>28</v>
      </c>
      <c r="H3035" s="2" t="s">
        <v>21</v>
      </c>
      <c r="I3035" s="2" t="s">
        <v>7505</v>
      </c>
      <c r="J3035" s="3" t="str">
        <f>HYPERLINK("https://www.boe.es/gazeta/dias/1819/05/06/pdfs/GMD-1819-54.pdf#page=8","Abrir facsímil")</f>
        <v>Abrir facsímil</v>
      </c>
      <c r="K3035" s="3" t="s">
        <v>23</v>
      </c>
    </row>
    <row r="3036" spans="1:11" ht="42" customHeight="1">
      <c r="A3036" s="2" t="s">
        <v>7502</v>
      </c>
      <c r="B3036" s="2" t="s">
        <v>7503</v>
      </c>
      <c r="C3036" s="2" t="s">
        <v>63</v>
      </c>
      <c r="D3036" s="2" t="s">
        <v>43</v>
      </c>
      <c r="E3036" s="5">
        <v>-29383</v>
      </c>
      <c r="F3036" s="3" t="s">
        <v>631</v>
      </c>
      <c r="G3036" s="3" t="s">
        <v>28</v>
      </c>
      <c r="H3036" s="2" t="s">
        <v>21</v>
      </c>
      <c r="I3036" s="2" t="s">
        <v>7506</v>
      </c>
      <c r="J3036" s="3" t="str">
        <f>HYPERLINK("https://www.boe.es/gazeta/dias/1819/07/20/pdfs/GMD-1819-87.pdf#page=8","Abrir facsímil")</f>
        <v>Abrir facsímil</v>
      </c>
      <c r="K3036" s="3" t="s">
        <v>23</v>
      </c>
    </row>
    <row r="3037" spans="1:11" ht="42" customHeight="1">
      <c r="A3037" s="2" t="s">
        <v>7502</v>
      </c>
      <c r="B3037" s="2" t="s">
        <v>7503</v>
      </c>
      <c r="C3037" s="2" t="s">
        <v>63</v>
      </c>
      <c r="D3037" s="2" t="s">
        <v>43</v>
      </c>
      <c r="E3037" s="5">
        <v>-29325</v>
      </c>
      <c r="F3037" s="3" t="s">
        <v>174</v>
      </c>
      <c r="G3037" s="3" t="s">
        <v>2818</v>
      </c>
      <c r="H3037" s="2" t="s">
        <v>21</v>
      </c>
      <c r="I3037" s="2" t="s">
        <v>7507</v>
      </c>
      <c r="J3037" s="3" t="str">
        <f>HYPERLINK("https://www.boe.es/gazeta/dias/1819/09/16/pdfs/GMD-1819-113.pdf#page=8","Abrir facsímil")</f>
        <v>Abrir facsímil</v>
      </c>
      <c r="K3037" s="3" t="s">
        <v>23</v>
      </c>
    </row>
    <row r="3038" spans="1:11" ht="42" customHeight="1">
      <c r="A3038" s="2" t="s">
        <v>7508</v>
      </c>
      <c r="B3038" s="2" t="s">
        <v>7509</v>
      </c>
      <c r="C3038" s="2" t="s">
        <v>80</v>
      </c>
      <c r="D3038" s="2" t="s">
        <v>81</v>
      </c>
      <c r="E3038" s="5">
        <v>-29407</v>
      </c>
      <c r="F3038" s="3" t="s">
        <v>64</v>
      </c>
      <c r="G3038" s="3" t="s">
        <v>55</v>
      </c>
      <c r="H3038" s="2" t="s">
        <v>65</v>
      </c>
      <c r="I3038" s="2" t="s">
        <v>7510</v>
      </c>
      <c r="J3038" s="3" t="str">
        <f>HYPERLINK("https://www.boe.es/gazeta/dias/1819/06/26/pdfs/GMD-1819-77.pdf#page=7","Abrir facsímil")</f>
        <v>Abrir facsímil</v>
      </c>
      <c r="K3038" s="3" t="s">
        <v>67</v>
      </c>
    </row>
    <row r="3039" spans="1:11" ht="42" customHeight="1">
      <c r="A3039" s="2" t="s">
        <v>7511</v>
      </c>
      <c r="B3039" s="2" t="s">
        <v>7511</v>
      </c>
      <c r="C3039" s="2" t="s">
        <v>80</v>
      </c>
      <c r="D3039" s="2" t="s">
        <v>81</v>
      </c>
      <c r="E3039" s="5">
        <v>-29463</v>
      </c>
      <c r="F3039" s="3" t="s">
        <v>114</v>
      </c>
      <c r="G3039" s="3" t="s">
        <v>259</v>
      </c>
      <c r="H3039" s="2" t="s">
        <v>65</v>
      </c>
      <c r="I3039" s="2" t="s">
        <v>7512</v>
      </c>
      <c r="J3039" s="3" t="str">
        <f>HYPERLINK("https://www.boe.es/gazeta/dias/1819/05/01/pdfs/GMD-1819-52.pdf#page=2","Abrir facsímil")</f>
        <v>Abrir facsímil</v>
      </c>
      <c r="K3039" s="3" t="s">
        <v>67</v>
      </c>
    </row>
    <row r="3040" spans="1:11" ht="42" customHeight="1">
      <c r="A3040" s="2" t="s">
        <v>7513</v>
      </c>
      <c r="B3040" s="2" t="s">
        <v>7514</v>
      </c>
      <c r="C3040" s="2" t="s">
        <v>63</v>
      </c>
      <c r="D3040" s="2" t="s">
        <v>43</v>
      </c>
      <c r="E3040" s="5">
        <v>-29463</v>
      </c>
      <c r="F3040" s="3" t="s">
        <v>114</v>
      </c>
      <c r="G3040" s="3" t="s">
        <v>296</v>
      </c>
      <c r="H3040" s="2" t="s">
        <v>65</v>
      </c>
      <c r="I3040" s="2" t="s">
        <v>7515</v>
      </c>
      <c r="J3040" s="3" t="str">
        <f>HYPERLINK("https://www.boe.es/gazeta/dias/1819/05/01/pdfs/GMD-1819-52.pdf#page=4","Abrir facsímil")</f>
        <v>Abrir facsímil</v>
      </c>
      <c r="K3040" s="3" t="s">
        <v>67</v>
      </c>
    </row>
    <row r="3041" spans="1:11" ht="42" customHeight="1">
      <c r="A3041" s="2" t="s">
        <v>7516</v>
      </c>
      <c r="B3041" s="2" t="s">
        <v>7516</v>
      </c>
      <c r="C3041" s="2" t="s">
        <v>63</v>
      </c>
      <c r="D3041" s="2" t="s">
        <v>43</v>
      </c>
      <c r="E3041" s="5">
        <v>-29353</v>
      </c>
      <c r="F3041" s="3" t="s">
        <v>867</v>
      </c>
      <c r="G3041" s="3" t="s">
        <v>868</v>
      </c>
      <c r="H3041" s="2" t="s">
        <v>65</v>
      </c>
      <c r="I3041" s="2" t="s">
        <v>7517</v>
      </c>
      <c r="J3041" s="3" t="str">
        <f>HYPERLINK("https://www.boe.es/gazeta/dias/1819/08/19/pdfs/GMD-1819-100.pdf#page=5","Abrir facsímil")</f>
        <v>Abrir facsímil</v>
      </c>
      <c r="K3041" s="3" t="s">
        <v>67</v>
      </c>
    </row>
    <row r="3042" spans="1:11" ht="42" customHeight="1">
      <c r="A3042" s="2" t="s">
        <v>7518</v>
      </c>
      <c r="B3042" s="2" t="s">
        <v>7519</v>
      </c>
      <c r="C3042" s="2" t="s">
        <v>80</v>
      </c>
      <c r="D3042" s="2" t="s">
        <v>81</v>
      </c>
      <c r="E3042" s="5">
        <v>-29260</v>
      </c>
      <c r="F3042" s="3" t="s">
        <v>93</v>
      </c>
      <c r="G3042" s="3" t="s">
        <v>456</v>
      </c>
      <c r="H3042" s="2" t="s">
        <v>65</v>
      </c>
      <c r="I3042" s="2" t="s">
        <v>7520</v>
      </c>
      <c r="J3042" s="3" t="str">
        <f>HYPERLINK("https://www.boe.es/gazeta/dias/1819/11/20/pdfs/GMD-1819-143.pdf#page=9","Abrir facsímil")</f>
        <v>Abrir facsímil</v>
      </c>
      <c r="K3042" s="3" t="s">
        <v>67</v>
      </c>
    </row>
    <row r="3043" spans="1:11" ht="42" customHeight="1">
      <c r="A3043" s="2" t="s">
        <v>7521</v>
      </c>
      <c r="B3043" s="2" t="s">
        <v>7522</v>
      </c>
      <c r="C3043" s="2" t="s">
        <v>80</v>
      </c>
      <c r="D3043" s="2" t="s">
        <v>81</v>
      </c>
      <c r="E3043" s="5">
        <v>-29414</v>
      </c>
      <c r="F3043" s="3" t="s">
        <v>732</v>
      </c>
      <c r="G3043" s="3" t="s">
        <v>38</v>
      </c>
      <c r="H3043" s="2" t="s">
        <v>65</v>
      </c>
      <c r="I3043" s="2" t="s">
        <v>7523</v>
      </c>
      <c r="J3043" s="3" t="str">
        <f>HYPERLINK("https://www.boe.es/gazeta/dias/1819/06/19/pdfs/GMD-1819-74.pdf#page=5","Abrir facsímil")</f>
        <v>Abrir facsímil</v>
      </c>
      <c r="K3043" s="3" t="s">
        <v>67</v>
      </c>
    </row>
    <row r="3044" spans="1:11" ht="42" customHeight="1">
      <c r="A3044" s="2" t="s">
        <v>7524</v>
      </c>
      <c r="B3044" s="2" t="s">
        <v>7525</v>
      </c>
      <c r="C3044" s="2" t="s">
        <v>80</v>
      </c>
      <c r="D3044" s="2" t="s">
        <v>81</v>
      </c>
      <c r="E3044" s="5">
        <v>-29442</v>
      </c>
      <c r="F3044" s="3" t="s">
        <v>427</v>
      </c>
      <c r="G3044" s="3" t="s">
        <v>33</v>
      </c>
      <c r="H3044" s="2" t="s">
        <v>65</v>
      </c>
      <c r="I3044" s="2" t="s">
        <v>7526</v>
      </c>
      <c r="J3044" s="3" t="str">
        <f>HYPERLINK("https://www.boe.es/gazeta/dias/1819/05/22/pdfs/GMD-1819-61.pdf#page=6","Abrir facsímil")</f>
        <v>Abrir facsímil</v>
      </c>
      <c r="K3044" s="3" t="s">
        <v>67</v>
      </c>
    </row>
    <row r="3045" spans="1:11" ht="42" customHeight="1">
      <c r="A3045" s="2" t="s">
        <v>7527</v>
      </c>
      <c r="B3045" s="2" t="s">
        <v>7527</v>
      </c>
      <c r="C3045" s="2" t="s">
        <v>63</v>
      </c>
      <c r="D3045" s="2" t="s">
        <v>43</v>
      </c>
      <c r="E3045" s="5">
        <v>-29257</v>
      </c>
      <c r="F3045" s="3" t="s">
        <v>73</v>
      </c>
      <c r="G3045" s="3" t="s">
        <v>826</v>
      </c>
      <c r="H3045" s="2" t="s">
        <v>65</v>
      </c>
      <c r="I3045" s="2" t="s">
        <v>7528</v>
      </c>
      <c r="J3045" s="3" t="str">
        <f>HYPERLINK("https://www.boe.es/gazeta/dias/1819/11/23/pdfs/GMD-1819-144.pdf#page=11","Abrir facsímil")</f>
        <v>Abrir facsímil</v>
      </c>
      <c r="K3045" s="3" t="s">
        <v>67</v>
      </c>
    </row>
    <row r="3046" spans="1:11" ht="42" customHeight="1">
      <c r="A3046" s="2" t="s">
        <v>7529</v>
      </c>
      <c r="B3046" s="2" t="s">
        <v>7529</v>
      </c>
      <c r="C3046" s="2" t="s">
        <v>63</v>
      </c>
      <c r="D3046" s="2" t="s">
        <v>43</v>
      </c>
      <c r="E3046" s="5">
        <v>-29414</v>
      </c>
      <c r="F3046" s="3" t="s">
        <v>732</v>
      </c>
      <c r="G3046" s="3" t="s">
        <v>33</v>
      </c>
      <c r="H3046" s="2" t="s">
        <v>65</v>
      </c>
      <c r="I3046" s="2" t="s">
        <v>7530</v>
      </c>
      <c r="J3046" s="3" t="str">
        <f>HYPERLINK("https://www.boe.es/gazeta/dias/1819/06/19/pdfs/GMD-1819-74.pdf#page=6","Abrir facsímil")</f>
        <v>Abrir facsímil</v>
      </c>
      <c r="K3046" s="3" t="s">
        <v>67</v>
      </c>
    </row>
    <row r="3047" spans="1:11" ht="42" customHeight="1">
      <c r="A3047" s="2" t="s">
        <v>7531</v>
      </c>
      <c r="B3047" s="2" t="s">
        <v>7532</v>
      </c>
      <c r="C3047" s="2" t="s">
        <v>80</v>
      </c>
      <c r="D3047" s="2" t="s">
        <v>81</v>
      </c>
      <c r="E3047" s="5">
        <v>-29285</v>
      </c>
      <c r="F3047" s="3" t="s">
        <v>578</v>
      </c>
      <c r="G3047" s="3" t="s">
        <v>55</v>
      </c>
      <c r="H3047" s="2" t="s">
        <v>65</v>
      </c>
      <c r="I3047" s="2" t="s">
        <v>7533</v>
      </c>
      <c r="J3047" s="3" t="str">
        <f>HYPERLINK("https://www.boe.es/gazeta/dias/1819/10/26/pdfs/GMD-1819-132.pdf#page=7","Abrir facsímil")</f>
        <v>Abrir facsímil</v>
      </c>
      <c r="K3047" s="3" t="s">
        <v>67</v>
      </c>
    </row>
    <row r="3048" spans="1:11" ht="42" customHeight="1">
      <c r="A3048" s="2" t="s">
        <v>7534</v>
      </c>
      <c r="B3048" s="2" t="s">
        <v>7535</v>
      </c>
      <c r="C3048" s="2" t="s">
        <v>63</v>
      </c>
      <c r="D3048" s="2" t="s">
        <v>43</v>
      </c>
      <c r="E3048" s="5">
        <v>-29519</v>
      </c>
      <c r="F3048" s="3" t="s">
        <v>142</v>
      </c>
      <c r="G3048" s="3" t="s">
        <v>28</v>
      </c>
      <c r="H3048" s="2" t="s">
        <v>65</v>
      </c>
      <c r="I3048" s="2" t="s">
        <v>7536</v>
      </c>
      <c r="J3048" s="3" t="str">
        <f>HYPERLINK("https://www.boe.es/gazeta/dias/1819/03/06/pdfs/GMD-1819-28.pdf#page=8","Abrir facsímil")</f>
        <v>Abrir facsímil</v>
      </c>
      <c r="K3048" s="3" t="s">
        <v>67</v>
      </c>
    </row>
    <row r="3049" spans="1:11" ht="42" customHeight="1">
      <c r="A3049" s="2" t="s">
        <v>7537</v>
      </c>
      <c r="B3049" s="2" t="s">
        <v>7538</v>
      </c>
      <c r="C3049" s="2" t="s">
        <v>59</v>
      </c>
      <c r="D3049" s="2" t="s">
        <v>18</v>
      </c>
      <c r="E3049" s="5">
        <v>-29337</v>
      </c>
      <c r="F3049" s="3" t="s">
        <v>1098</v>
      </c>
      <c r="G3049" s="3" t="s">
        <v>28</v>
      </c>
      <c r="H3049" s="2" t="s">
        <v>65</v>
      </c>
      <c r="I3049" s="2" t="s">
        <v>7539</v>
      </c>
      <c r="J3049" s="3" t="str">
        <f>HYPERLINK("https://www.boe.es/gazeta/dias/1819/09/04/pdfs/GMD-1819-108.pdf#page=8","Abrir facsímil")</f>
        <v>Abrir facsímil</v>
      </c>
      <c r="K3049" s="3" t="s">
        <v>67</v>
      </c>
    </row>
    <row r="3050" spans="1:11" ht="42" customHeight="1">
      <c r="A3050" s="2" t="s">
        <v>7540</v>
      </c>
      <c r="B3050" s="2" t="s">
        <v>7541</v>
      </c>
      <c r="C3050" s="2" t="s">
        <v>59</v>
      </c>
      <c r="D3050" s="2" t="s">
        <v>18</v>
      </c>
      <c r="E3050" s="5">
        <v>-29260</v>
      </c>
      <c r="F3050" s="3" t="s">
        <v>93</v>
      </c>
      <c r="G3050" s="3" t="s">
        <v>33</v>
      </c>
      <c r="H3050" s="2" t="s">
        <v>65</v>
      </c>
      <c r="I3050" s="2" t="s">
        <v>7542</v>
      </c>
      <c r="J3050" s="3" t="str">
        <f>HYPERLINK("https://www.boe.es/gazeta/dias/1819/11/20/pdfs/GMD-1819-143.pdf#page=6","Abrir facsímil")</f>
        <v>Abrir facsímil</v>
      </c>
      <c r="K3050" s="3" t="s">
        <v>67</v>
      </c>
    </row>
    <row r="3051" spans="1:11" ht="42" customHeight="1">
      <c r="A3051" s="2" t="s">
        <v>7543</v>
      </c>
      <c r="B3051" s="2" t="s">
        <v>7544</v>
      </c>
      <c r="C3051" s="2" t="s">
        <v>63</v>
      </c>
      <c r="D3051" s="2" t="s">
        <v>43</v>
      </c>
      <c r="E3051" s="5">
        <v>-29435</v>
      </c>
      <c r="F3051" s="3" t="s">
        <v>191</v>
      </c>
      <c r="G3051" s="3" t="s">
        <v>55</v>
      </c>
      <c r="H3051" s="2" t="s">
        <v>65</v>
      </c>
      <c r="I3051" s="2" t="s">
        <v>7545</v>
      </c>
      <c r="J3051" s="3" t="str">
        <f>HYPERLINK("https://www.boe.es/gazeta/dias/1819/05/29/pdfs/GMD-1819-64.pdf#page=7","Abrir facsímil")</f>
        <v>Abrir facsímil</v>
      </c>
      <c r="K3051" s="3" t="s">
        <v>67</v>
      </c>
    </row>
    <row r="3052" spans="1:11" ht="42" customHeight="1">
      <c r="A3052" s="2" t="s">
        <v>7546</v>
      </c>
      <c r="B3052" s="2" t="s">
        <v>7547</v>
      </c>
      <c r="C3052" s="2" t="s">
        <v>63</v>
      </c>
      <c r="D3052" s="2" t="s">
        <v>43</v>
      </c>
      <c r="E3052" s="5">
        <v>-29442</v>
      </c>
      <c r="F3052" s="3" t="s">
        <v>427</v>
      </c>
      <c r="G3052" s="3" t="s">
        <v>55</v>
      </c>
      <c r="H3052" s="2" t="s">
        <v>65</v>
      </c>
      <c r="I3052" s="2" t="s">
        <v>7548</v>
      </c>
      <c r="J3052" s="3" t="str">
        <f>HYPERLINK("https://www.boe.es/gazeta/dias/1819/05/22/pdfs/GMD-1819-61.pdf#page=7","Abrir facsímil")</f>
        <v>Abrir facsímil</v>
      </c>
      <c r="K3052" s="3" t="s">
        <v>67</v>
      </c>
    </row>
    <row r="3053" spans="1:11" ht="42" customHeight="1">
      <c r="A3053" s="2" t="s">
        <v>7549</v>
      </c>
      <c r="B3053" s="2" t="s">
        <v>7550</v>
      </c>
      <c r="C3053" s="2" t="s">
        <v>63</v>
      </c>
      <c r="D3053" s="2" t="s">
        <v>43</v>
      </c>
      <c r="E3053" s="5">
        <v>-29304</v>
      </c>
      <c r="F3053" s="3" t="s">
        <v>519</v>
      </c>
      <c r="G3053" s="3" t="s">
        <v>28</v>
      </c>
      <c r="H3053" s="2" t="s">
        <v>65</v>
      </c>
      <c r="I3053" s="2" t="s">
        <v>7551</v>
      </c>
      <c r="J3053" s="3" t="str">
        <f>HYPERLINK("https://www.boe.es/gazeta/dias/1819/10/07/pdfs/GMD-1819-123.pdf#page=8","Abrir facsímil")</f>
        <v>Abrir facsímil</v>
      </c>
      <c r="K3053" s="3" t="s">
        <v>67</v>
      </c>
    </row>
    <row r="3054" spans="1:11" ht="42" customHeight="1">
      <c r="A3054" s="2" t="s">
        <v>7552</v>
      </c>
      <c r="B3054" s="2" t="s">
        <v>7553</v>
      </c>
      <c r="C3054" s="2" t="s">
        <v>80</v>
      </c>
      <c r="D3054" s="2" t="s">
        <v>81</v>
      </c>
      <c r="E3054" s="5">
        <v>-29537</v>
      </c>
      <c r="F3054" s="3" t="s">
        <v>593</v>
      </c>
      <c r="G3054" s="3" t="s">
        <v>28</v>
      </c>
      <c r="H3054" s="2" t="s">
        <v>65</v>
      </c>
      <c r="I3054" s="2" t="s">
        <v>7554</v>
      </c>
      <c r="J3054" s="3" t="str">
        <f>HYPERLINK("https://www.boe.es/gazeta/dias/1819/02/16/pdfs/GMD-1819-20.pdf#page=8","Abrir facsímil")</f>
        <v>Abrir facsímil</v>
      </c>
      <c r="K3054" s="3" t="s">
        <v>67</v>
      </c>
    </row>
    <row r="3055" spans="1:11" ht="42" customHeight="1">
      <c r="A3055" s="2" t="s">
        <v>7555</v>
      </c>
      <c r="B3055" s="2" t="s">
        <v>7556</v>
      </c>
      <c r="C3055" s="2" t="s">
        <v>59</v>
      </c>
      <c r="D3055" s="2" t="s">
        <v>18</v>
      </c>
      <c r="E3055" s="5">
        <v>-29323</v>
      </c>
      <c r="F3055" s="3" t="s">
        <v>270</v>
      </c>
      <c r="G3055" s="3" t="s">
        <v>38</v>
      </c>
      <c r="H3055" s="2" t="s">
        <v>65</v>
      </c>
      <c r="I3055" s="2" t="s">
        <v>7557</v>
      </c>
      <c r="J3055" s="3" t="str">
        <f>HYPERLINK("https://www.boe.es/gazeta/dias/1819/09/18/pdfs/GMD-1819-115.pdf#page=5","Abrir facsímil")</f>
        <v>Abrir facsímil</v>
      </c>
      <c r="K3055" s="3" t="s">
        <v>67</v>
      </c>
    </row>
    <row r="3056" spans="1:11" ht="42" customHeight="1">
      <c r="A3056" s="2" t="s">
        <v>7558</v>
      </c>
      <c r="B3056" s="2" t="s">
        <v>7559</v>
      </c>
      <c r="C3056" s="2" t="s">
        <v>80</v>
      </c>
      <c r="D3056" s="2" t="s">
        <v>81</v>
      </c>
      <c r="E3056" s="5">
        <v>-29255</v>
      </c>
      <c r="F3056" s="3" t="s">
        <v>357</v>
      </c>
      <c r="G3056" s="3" t="s">
        <v>28</v>
      </c>
      <c r="H3056" s="2" t="s">
        <v>21</v>
      </c>
      <c r="I3056" s="2" t="s">
        <v>7560</v>
      </c>
      <c r="J3056" s="3" t="str">
        <f>HYPERLINK("https://www.boe.es/gazeta/dias/1819/11/25/pdfs/GMD-1819-145.pdf#page=8","Abrir facsímil")</f>
        <v>Abrir facsímil</v>
      </c>
      <c r="K3056" s="3" t="s">
        <v>23</v>
      </c>
    </row>
    <row r="3057" spans="1:11" ht="42" customHeight="1">
      <c r="A3057" s="2" t="s">
        <v>7561</v>
      </c>
      <c r="B3057" s="2" t="s">
        <v>7562</v>
      </c>
      <c r="C3057" s="2" t="s">
        <v>80</v>
      </c>
      <c r="D3057" s="2" t="s">
        <v>81</v>
      </c>
      <c r="E3057" s="5">
        <v>-29407</v>
      </c>
      <c r="F3057" s="3" t="s">
        <v>64</v>
      </c>
      <c r="G3057" s="3" t="s">
        <v>102</v>
      </c>
      <c r="H3057" s="2" t="s">
        <v>65</v>
      </c>
      <c r="I3057" s="2" t="s">
        <v>7563</v>
      </c>
      <c r="J3057" s="3" t="str">
        <f>HYPERLINK("https://www.boe.es/gazeta/dias/1819/06/26/pdfs/GMD-1819-77.pdf#page=3","Abrir facsímil")</f>
        <v>Abrir facsímil</v>
      </c>
      <c r="K3057" s="3" t="s">
        <v>67</v>
      </c>
    </row>
    <row r="3058" spans="1:11" ht="42" customHeight="1">
      <c r="A3058" s="2" t="s">
        <v>7564</v>
      </c>
      <c r="B3058" s="2" t="s">
        <v>7565</v>
      </c>
      <c r="C3058" s="2" t="s">
        <v>80</v>
      </c>
      <c r="D3058" s="2" t="s">
        <v>81</v>
      </c>
      <c r="E3058" s="5">
        <v>-29365</v>
      </c>
      <c r="F3058" s="3" t="s">
        <v>218</v>
      </c>
      <c r="G3058" s="3" t="s">
        <v>490</v>
      </c>
      <c r="H3058" s="2" t="s">
        <v>65</v>
      </c>
      <c r="I3058" s="2" t="s">
        <v>7566</v>
      </c>
      <c r="J3058" s="3" t="str">
        <f>HYPERLINK("https://www.boe.es/gazeta/dias/1819/08/07/pdfs/GMD-1819-95.pdf#page=6","Abrir facsímil")</f>
        <v>Abrir facsímil</v>
      </c>
      <c r="K3058" s="3" t="s">
        <v>67</v>
      </c>
    </row>
    <row r="3059" spans="1:11" ht="42" customHeight="1">
      <c r="A3059" s="2" t="s">
        <v>7567</v>
      </c>
      <c r="B3059" s="2" t="s">
        <v>7568</v>
      </c>
      <c r="C3059" s="2" t="s">
        <v>63</v>
      </c>
      <c r="D3059" s="2" t="s">
        <v>43</v>
      </c>
      <c r="E3059" s="5">
        <v>-29547</v>
      </c>
      <c r="F3059" s="3" t="s">
        <v>238</v>
      </c>
      <c r="G3059" s="3" t="s">
        <v>1578</v>
      </c>
      <c r="H3059" s="2" t="s">
        <v>65</v>
      </c>
      <c r="I3059" s="2" t="s">
        <v>7569</v>
      </c>
      <c r="J3059" s="3" t="str">
        <f>HYPERLINK("https://www.boe.es/gazeta/dias/1819/02/06/pdfs/GMD-1819-16.pdf#page=8","Abrir facsímil")</f>
        <v>Abrir facsímil</v>
      </c>
      <c r="K3059" s="3" t="s">
        <v>67</v>
      </c>
    </row>
    <row r="3060" spans="1:11" ht="42" customHeight="1">
      <c r="A3060" s="2" t="s">
        <v>7567</v>
      </c>
      <c r="B3060" s="2" t="s">
        <v>7568</v>
      </c>
      <c r="C3060" s="2" t="s">
        <v>63</v>
      </c>
      <c r="D3060" s="2" t="s">
        <v>43</v>
      </c>
      <c r="E3060" s="5">
        <v>-29250</v>
      </c>
      <c r="F3060" s="3" t="s">
        <v>312</v>
      </c>
      <c r="G3060" s="3" t="s">
        <v>313</v>
      </c>
      <c r="H3060" s="2" t="s">
        <v>65</v>
      </c>
      <c r="I3060" s="2" t="s">
        <v>7570</v>
      </c>
      <c r="J3060" s="3" t="str">
        <f>HYPERLINK("https://www.boe.es/gazeta/dias/1819/11/30/pdfs/GMD-1819-147.pdf#page=8","Abrir facsímil")</f>
        <v>Abrir facsímil</v>
      </c>
      <c r="K3060" s="3" t="s">
        <v>67</v>
      </c>
    </row>
    <row r="3061" spans="1:11" ht="42" customHeight="1">
      <c r="A3061" s="2" t="s">
        <v>7571</v>
      </c>
      <c r="B3061" s="2" t="s">
        <v>7572</v>
      </c>
      <c r="C3061" s="2" t="s">
        <v>59</v>
      </c>
      <c r="D3061" s="2" t="s">
        <v>18</v>
      </c>
      <c r="E3061" s="5">
        <v>-29521</v>
      </c>
      <c r="F3061" s="3" t="s">
        <v>1002</v>
      </c>
      <c r="G3061" s="3" t="s">
        <v>55</v>
      </c>
      <c r="H3061" s="2" t="s">
        <v>65</v>
      </c>
      <c r="I3061" s="2" t="s">
        <v>7573</v>
      </c>
      <c r="J3061" s="3" t="str">
        <f>HYPERLINK("https://www.boe.es/gazeta/dias/1819/03/04/pdfs/GMD-1819-27.pdf#page=7","Abrir facsímil")</f>
        <v>Abrir facsímil</v>
      </c>
      <c r="K3061" s="3" t="s">
        <v>67</v>
      </c>
    </row>
    <row r="3062" spans="1:11" ht="42" customHeight="1">
      <c r="A3062" s="2" t="s">
        <v>7574</v>
      </c>
      <c r="B3062" s="2" t="s">
        <v>7575</v>
      </c>
      <c r="C3062" s="2" t="s">
        <v>80</v>
      </c>
      <c r="D3062" s="2" t="s">
        <v>81</v>
      </c>
      <c r="E3062" s="5">
        <v>-29372</v>
      </c>
      <c r="F3062" s="3" t="s">
        <v>715</v>
      </c>
      <c r="G3062" s="3" t="s">
        <v>28</v>
      </c>
      <c r="H3062" s="2" t="s">
        <v>65</v>
      </c>
      <c r="I3062" s="2" t="s">
        <v>7576</v>
      </c>
      <c r="J3062" s="3" t="str">
        <f>HYPERLINK("https://www.boe.es/gazeta/dias/1819/07/31/pdfs/GMD-1819-92.pdf#page=8","Abrir facsímil")</f>
        <v>Abrir facsímil</v>
      </c>
      <c r="K3062" s="3" t="s">
        <v>67</v>
      </c>
    </row>
    <row r="3063" spans="1:11" ht="42" customHeight="1">
      <c r="A3063" s="2" t="s">
        <v>7577</v>
      </c>
      <c r="B3063" s="2" t="s">
        <v>7578</v>
      </c>
      <c r="C3063" s="2" t="s">
        <v>63</v>
      </c>
      <c r="D3063" s="2" t="s">
        <v>43</v>
      </c>
      <c r="E3063" s="5">
        <v>-29257</v>
      </c>
      <c r="F3063" s="3" t="s">
        <v>73</v>
      </c>
      <c r="G3063" s="3" t="s">
        <v>826</v>
      </c>
      <c r="H3063" s="2" t="s">
        <v>65</v>
      </c>
      <c r="I3063" s="2" t="s">
        <v>7579</v>
      </c>
      <c r="J3063" s="3" t="str">
        <f>HYPERLINK("https://www.boe.es/gazeta/dias/1819/11/23/pdfs/GMD-1819-144.pdf#page=11","Abrir facsímil")</f>
        <v>Abrir facsímil</v>
      </c>
      <c r="K3063" s="3" t="s">
        <v>67</v>
      </c>
    </row>
    <row r="3064" spans="1:11" ht="42" customHeight="1">
      <c r="A3064" s="2" t="s">
        <v>7580</v>
      </c>
      <c r="B3064" s="2" t="s">
        <v>7581</v>
      </c>
      <c r="C3064" s="2" t="s">
        <v>136</v>
      </c>
      <c r="D3064" s="2" t="s">
        <v>18</v>
      </c>
      <c r="E3064" s="5">
        <v>-29397</v>
      </c>
      <c r="F3064" s="3" t="s">
        <v>599</v>
      </c>
      <c r="G3064" s="3" t="s">
        <v>28</v>
      </c>
      <c r="H3064" s="2" t="s">
        <v>65</v>
      </c>
      <c r="I3064" s="2" t="s">
        <v>7582</v>
      </c>
      <c r="J3064" s="3" t="str">
        <f>HYPERLINK("https://www.boe.es/gazeta/dias/1819/07/06/pdfs/GMD-1819-81.pdf#page=8","Abrir facsímil")</f>
        <v>Abrir facsímil</v>
      </c>
      <c r="K3064" s="3" t="s">
        <v>67</v>
      </c>
    </row>
    <row r="3065" spans="1:11" ht="42" customHeight="1">
      <c r="A3065" s="2" t="s">
        <v>7583</v>
      </c>
      <c r="B3065" s="2" t="s">
        <v>7584</v>
      </c>
      <c r="C3065" s="2" t="s">
        <v>80</v>
      </c>
      <c r="D3065" s="2" t="s">
        <v>81</v>
      </c>
      <c r="E3065" s="5">
        <v>-29575</v>
      </c>
      <c r="F3065" s="3" t="s">
        <v>77</v>
      </c>
      <c r="G3065" s="3" t="s">
        <v>55</v>
      </c>
      <c r="H3065" s="2" t="s">
        <v>21</v>
      </c>
      <c r="I3065" s="2" t="s">
        <v>7585</v>
      </c>
      <c r="J3065" s="3" t="str">
        <f>HYPERLINK("https://www.boe.es/gazeta/dias/1819/01/09/pdfs/GMD-1819-4.pdf#page=7","Abrir facsímil")</f>
        <v>Abrir facsímil</v>
      </c>
      <c r="K3065" s="3" t="s">
        <v>23</v>
      </c>
    </row>
    <row r="3066" spans="1:11" ht="42" customHeight="1">
      <c r="A3066" s="2" t="s">
        <v>7586</v>
      </c>
      <c r="B3066" s="2" t="s">
        <v>7587</v>
      </c>
      <c r="C3066" s="2" t="s">
        <v>59</v>
      </c>
      <c r="D3066" s="2" t="s">
        <v>18</v>
      </c>
      <c r="E3066" s="5">
        <v>-29414</v>
      </c>
      <c r="F3066" s="3" t="s">
        <v>732</v>
      </c>
      <c r="G3066" s="3" t="s">
        <v>55</v>
      </c>
      <c r="H3066" s="2" t="s">
        <v>65</v>
      </c>
      <c r="I3066" s="2" t="s">
        <v>7588</v>
      </c>
      <c r="J3066" s="3" t="str">
        <f>HYPERLINK("https://www.boe.es/gazeta/dias/1819/06/19/pdfs/GMD-1819-74.pdf#page=7","Abrir facsímil")</f>
        <v>Abrir facsímil</v>
      </c>
      <c r="K3066" s="3" t="s">
        <v>67</v>
      </c>
    </row>
    <row r="3067" spans="1:11" ht="42" customHeight="1">
      <c r="A3067" s="2" t="s">
        <v>7589</v>
      </c>
      <c r="B3067" s="2" t="s">
        <v>7590</v>
      </c>
      <c r="C3067" s="2" t="s">
        <v>26</v>
      </c>
      <c r="D3067" s="2" t="s">
        <v>18</v>
      </c>
      <c r="E3067" s="5">
        <v>-29355</v>
      </c>
      <c r="F3067" s="3" t="s">
        <v>347</v>
      </c>
      <c r="G3067" s="3" t="s">
        <v>348</v>
      </c>
      <c r="H3067" s="2" t="s">
        <v>65</v>
      </c>
      <c r="I3067" s="2" t="s">
        <v>7591</v>
      </c>
      <c r="J3067" s="3" t="str">
        <f>HYPERLINK("https://www.boe.es/gazeta/dias/1819/08/17/pdfs/GMD-1819-99.pdf#page=6","Abrir facsímil")</f>
        <v>Abrir facsímil</v>
      </c>
      <c r="K3067" s="3" t="s">
        <v>67</v>
      </c>
    </row>
    <row r="3068" spans="1:11" ht="42" customHeight="1">
      <c r="A3068" s="2" t="s">
        <v>7592</v>
      </c>
      <c r="B3068" s="2" t="s">
        <v>7593</v>
      </c>
      <c r="C3068" s="2" t="s">
        <v>59</v>
      </c>
      <c r="D3068" s="2" t="s">
        <v>18</v>
      </c>
      <c r="E3068" s="5">
        <v>-29533</v>
      </c>
      <c r="F3068" s="3" t="s">
        <v>280</v>
      </c>
      <c r="G3068" s="3" t="s">
        <v>33</v>
      </c>
      <c r="H3068" s="2" t="s">
        <v>65</v>
      </c>
      <c r="I3068" s="2" t="s">
        <v>7594</v>
      </c>
      <c r="J3068" s="3" t="str">
        <f>HYPERLINK("https://www.boe.es/gazeta/dias/1819/02/20/pdfs/GMD-1819-22.pdf#page=6","Abrir facsímil")</f>
        <v>Abrir facsímil</v>
      </c>
      <c r="K3068" s="3" t="s">
        <v>67</v>
      </c>
    </row>
    <row r="3069" spans="1:11" ht="42" customHeight="1">
      <c r="A3069" s="2" t="s">
        <v>7595</v>
      </c>
      <c r="B3069" s="2" t="s">
        <v>7596</v>
      </c>
      <c r="C3069" s="2" t="s">
        <v>80</v>
      </c>
      <c r="D3069" s="2" t="s">
        <v>81</v>
      </c>
      <c r="E3069" s="5">
        <v>-29577</v>
      </c>
      <c r="F3069" s="3" t="s">
        <v>1008</v>
      </c>
      <c r="G3069" s="3" t="s">
        <v>38</v>
      </c>
      <c r="H3069" s="2" t="s">
        <v>65</v>
      </c>
      <c r="I3069" s="2" t="s">
        <v>7597</v>
      </c>
      <c r="J3069" s="3" t="str">
        <f>HYPERLINK("https://www.boe.es/gazeta/dias/1819/01/07/pdfs/GMD-1819-3.pdf#page=5","Abrir facsímil")</f>
        <v>Abrir facsímil</v>
      </c>
      <c r="K3069" s="3" t="s">
        <v>67</v>
      </c>
    </row>
    <row r="3070" spans="1:11" ht="42" customHeight="1">
      <c r="A3070" s="2" t="s">
        <v>7598</v>
      </c>
      <c r="B3070" s="2" t="s">
        <v>7599</v>
      </c>
      <c r="C3070" s="2" t="s">
        <v>63</v>
      </c>
      <c r="D3070" s="2" t="s">
        <v>43</v>
      </c>
      <c r="E3070" s="5">
        <v>-29530</v>
      </c>
      <c r="F3070" s="3" t="s">
        <v>202</v>
      </c>
      <c r="G3070" s="3" t="s">
        <v>20</v>
      </c>
      <c r="H3070" s="2" t="s">
        <v>21</v>
      </c>
      <c r="I3070" s="2" t="s">
        <v>7600</v>
      </c>
      <c r="J3070" s="3" t="str">
        <f>HYPERLINK("https://www.boe.es/gazeta/dias/1819/02/23/pdfs/GMD-1819-23.pdf#page=10","Abrir facsímil")</f>
        <v>Abrir facsímil</v>
      </c>
      <c r="K3070" s="3" t="s">
        <v>23</v>
      </c>
    </row>
    <row r="3071" spans="1:11" ht="42" customHeight="1">
      <c r="A3071" s="2" t="s">
        <v>7601</v>
      </c>
      <c r="B3071" s="2" t="s">
        <v>7602</v>
      </c>
      <c r="C3071" s="2" t="s">
        <v>136</v>
      </c>
      <c r="D3071" s="2" t="s">
        <v>18</v>
      </c>
      <c r="E3071" s="5">
        <v>-29530</v>
      </c>
      <c r="F3071" s="3" t="s">
        <v>202</v>
      </c>
      <c r="G3071" s="3" t="s">
        <v>20</v>
      </c>
      <c r="H3071" s="2" t="s">
        <v>21</v>
      </c>
      <c r="I3071" s="2" t="s">
        <v>7603</v>
      </c>
      <c r="J3071" s="3" t="str">
        <f>HYPERLINK("https://www.boe.es/gazeta/dias/1819/02/23/pdfs/GMD-1819-23.pdf#page=10","Abrir facsímil")</f>
        <v>Abrir facsímil</v>
      </c>
      <c r="K3071" s="3" t="s">
        <v>23</v>
      </c>
    </row>
    <row r="3072" spans="1:11" ht="42" customHeight="1">
      <c r="A3072" s="2" t="s">
        <v>7604</v>
      </c>
      <c r="B3072" s="2" t="s">
        <v>7605</v>
      </c>
      <c r="C3072" s="2" t="s">
        <v>136</v>
      </c>
      <c r="D3072" s="2" t="s">
        <v>18</v>
      </c>
      <c r="E3072" s="5">
        <v>-29465</v>
      </c>
      <c r="F3072" s="3" t="s">
        <v>1934</v>
      </c>
      <c r="G3072" s="3" t="s">
        <v>28</v>
      </c>
      <c r="H3072" s="2" t="s">
        <v>21</v>
      </c>
      <c r="I3072" s="2" t="s">
        <v>7606</v>
      </c>
      <c r="J3072" s="3" t="str">
        <f>HYPERLINK("https://www.boe.es/gazeta/dias/1819/04/29/pdfs/GMD-1819-51.pdf#page=8","Abrir facsímil")</f>
        <v>Abrir facsímil</v>
      </c>
      <c r="K3072" s="3" t="s">
        <v>23</v>
      </c>
    </row>
    <row r="3073" spans="1:11" ht="42" customHeight="1">
      <c r="A3073" s="2" t="s">
        <v>7607</v>
      </c>
      <c r="B3073" s="2" t="s">
        <v>7608</v>
      </c>
      <c r="C3073" s="2" t="s">
        <v>80</v>
      </c>
      <c r="D3073" s="2" t="s">
        <v>81</v>
      </c>
      <c r="E3073" s="5">
        <v>-29397</v>
      </c>
      <c r="F3073" s="3" t="s">
        <v>599</v>
      </c>
      <c r="G3073" s="3" t="s">
        <v>38</v>
      </c>
      <c r="H3073" s="2" t="s">
        <v>65</v>
      </c>
      <c r="I3073" s="2" t="s">
        <v>7609</v>
      </c>
      <c r="J3073" s="3" t="str">
        <f>HYPERLINK("https://www.boe.es/gazeta/dias/1819/07/06/pdfs/GMD-1819-81.pdf#page=5","Abrir facsímil")</f>
        <v>Abrir facsímil</v>
      </c>
      <c r="K3073" s="3" t="s">
        <v>67</v>
      </c>
    </row>
    <row r="3074" spans="1:11" ht="42" customHeight="1">
      <c r="A3074" s="2" t="s">
        <v>7610</v>
      </c>
      <c r="B3074" s="2" t="s">
        <v>7611</v>
      </c>
      <c r="C3074" s="2" t="s">
        <v>80</v>
      </c>
      <c r="D3074" s="2" t="s">
        <v>81</v>
      </c>
      <c r="E3074" s="5">
        <v>-29332</v>
      </c>
      <c r="F3074" s="3" t="s">
        <v>499</v>
      </c>
      <c r="G3074" s="3" t="s">
        <v>33</v>
      </c>
      <c r="H3074" s="2" t="s">
        <v>65</v>
      </c>
      <c r="I3074" s="2" t="s">
        <v>7612</v>
      </c>
      <c r="J3074" s="3" t="str">
        <f>HYPERLINK("https://www.boe.es/gazeta/dias/1819/09/09/pdfs/GMD-1819-110.pdf#page=6","Abrir facsímil")</f>
        <v>Abrir facsímil</v>
      </c>
      <c r="K3074" s="3" t="s">
        <v>67</v>
      </c>
    </row>
    <row r="3075" spans="1:11" ht="42" customHeight="1">
      <c r="A3075" s="2" t="s">
        <v>7613</v>
      </c>
      <c r="B3075" s="2" t="s">
        <v>7614</v>
      </c>
      <c r="C3075" s="2" t="s">
        <v>80</v>
      </c>
      <c r="D3075" s="2" t="s">
        <v>81</v>
      </c>
      <c r="E3075" s="5">
        <v>-29332</v>
      </c>
      <c r="F3075" s="3" t="s">
        <v>499</v>
      </c>
      <c r="G3075" s="3" t="s">
        <v>33</v>
      </c>
      <c r="H3075" s="2" t="s">
        <v>65</v>
      </c>
      <c r="I3075" s="2" t="s">
        <v>7615</v>
      </c>
      <c r="J3075" s="3" t="str">
        <f>HYPERLINK("https://www.boe.es/gazeta/dias/1819/09/09/pdfs/GMD-1819-110.pdf#page=6","Abrir facsímil")</f>
        <v>Abrir facsímil</v>
      </c>
      <c r="K3075" s="3" t="s">
        <v>67</v>
      </c>
    </row>
    <row r="3076" spans="1:11" ht="42" customHeight="1">
      <c r="A3076" s="2" t="s">
        <v>7616</v>
      </c>
      <c r="B3076" s="2" t="s">
        <v>7617</v>
      </c>
      <c r="C3076" s="2" t="s">
        <v>26</v>
      </c>
      <c r="D3076" s="2" t="s">
        <v>18</v>
      </c>
      <c r="E3076" s="5">
        <v>-29260</v>
      </c>
      <c r="F3076" s="3" t="s">
        <v>93</v>
      </c>
      <c r="G3076" s="3" t="s">
        <v>33</v>
      </c>
      <c r="H3076" s="2" t="s">
        <v>21</v>
      </c>
      <c r="I3076" s="2" t="s">
        <v>7618</v>
      </c>
      <c r="J3076" s="3" t="str">
        <f>HYPERLINK("https://www.boe.es/gazeta/dias/1819/11/20/pdfs/GMD-1819-143.pdf#page=6","Abrir facsímil")</f>
        <v>Abrir facsímil</v>
      </c>
      <c r="K3076" s="3" t="s">
        <v>23</v>
      </c>
    </row>
    <row r="3077" spans="1:11" ht="42" customHeight="1">
      <c r="A3077" s="2" t="s">
        <v>7619</v>
      </c>
      <c r="B3077" s="2" t="s">
        <v>7620</v>
      </c>
      <c r="C3077" s="2" t="s">
        <v>80</v>
      </c>
      <c r="D3077" s="2" t="s">
        <v>81</v>
      </c>
      <c r="E3077" s="5">
        <v>-29276</v>
      </c>
      <c r="F3077" s="3" t="s">
        <v>54</v>
      </c>
      <c r="G3077" s="3" t="s">
        <v>55</v>
      </c>
      <c r="H3077" s="2" t="s">
        <v>21</v>
      </c>
      <c r="I3077" s="2" t="s">
        <v>7621</v>
      </c>
      <c r="J3077" s="3" t="str">
        <f>HYPERLINK("https://www.boe.es/gazeta/dias/1819/11/04/pdfs/GMD-1819-136.pdf#page=7","Abrir facsímil")</f>
        <v>Abrir facsímil</v>
      </c>
      <c r="K3077" s="3" t="s">
        <v>23</v>
      </c>
    </row>
    <row r="3078" spans="1:11" ht="42" customHeight="1">
      <c r="A3078" s="2" t="s">
        <v>7619</v>
      </c>
      <c r="B3078" s="2" t="s">
        <v>7620</v>
      </c>
      <c r="C3078" s="2" t="s">
        <v>59</v>
      </c>
      <c r="D3078" s="2" t="s">
        <v>18</v>
      </c>
      <c r="E3078" s="5">
        <v>-29269</v>
      </c>
      <c r="F3078" s="3" t="s">
        <v>565</v>
      </c>
      <c r="G3078" s="3" t="s">
        <v>38</v>
      </c>
      <c r="H3078" s="2" t="s">
        <v>21</v>
      </c>
      <c r="I3078" s="2" t="s">
        <v>7622</v>
      </c>
      <c r="J3078" s="3" t="str">
        <f>HYPERLINK("https://www.boe.es/gazeta/dias/1819/11/11/pdfs/GMD-1819-139.pdf#page=5","Abrir facsímil")</f>
        <v>Abrir facsímil</v>
      </c>
      <c r="K3078" s="3" t="s">
        <v>23</v>
      </c>
    </row>
    <row r="3079" spans="1:11" ht="42" customHeight="1">
      <c r="A3079" s="2" t="s">
        <v>7623</v>
      </c>
      <c r="B3079" s="2" t="s">
        <v>7624</v>
      </c>
      <c r="C3079" s="2" t="s">
        <v>17</v>
      </c>
      <c r="D3079" s="2" t="s">
        <v>18</v>
      </c>
      <c r="E3079" s="5">
        <v>-29276</v>
      </c>
      <c r="F3079" s="3" t="s">
        <v>54</v>
      </c>
      <c r="G3079" s="3" t="s">
        <v>55</v>
      </c>
      <c r="H3079" s="2" t="s">
        <v>21</v>
      </c>
      <c r="I3079" s="2" t="s">
        <v>7625</v>
      </c>
      <c r="J3079" s="3" t="str">
        <f>HYPERLINK("https://www.boe.es/gazeta/dias/1819/11/04/pdfs/GMD-1819-136.pdf#page=7","Abrir facsímil")</f>
        <v>Abrir facsímil</v>
      </c>
      <c r="K3079" s="3" t="s">
        <v>23</v>
      </c>
    </row>
    <row r="3080" spans="1:11" ht="42" customHeight="1">
      <c r="A3080" s="2" t="s">
        <v>7626</v>
      </c>
      <c r="B3080" s="2" t="s">
        <v>7627</v>
      </c>
      <c r="C3080" s="2" t="s">
        <v>59</v>
      </c>
      <c r="D3080" s="2" t="s">
        <v>18</v>
      </c>
      <c r="E3080" s="5">
        <v>-29271</v>
      </c>
      <c r="F3080" s="3" t="s">
        <v>32</v>
      </c>
      <c r="G3080" s="3" t="s">
        <v>33</v>
      </c>
      <c r="H3080" s="2" t="s">
        <v>21</v>
      </c>
      <c r="I3080" s="2" t="s">
        <v>7628</v>
      </c>
      <c r="J3080" s="3" t="str">
        <f>HYPERLINK("https://www.boe.es/gazeta/dias/1819/11/09/pdfs/GMD-1819-138.pdf#page=6","Abrir facsímil")</f>
        <v>Abrir facsímil</v>
      </c>
      <c r="K3080" s="3" t="s">
        <v>23</v>
      </c>
    </row>
    <row r="3081" spans="1:11" ht="42" customHeight="1">
      <c r="A3081" s="2" t="s">
        <v>7629</v>
      </c>
      <c r="B3081" s="2" t="s">
        <v>7630</v>
      </c>
      <c r="C3081" s="2" t="s">
        <v>26</v>
      </c>
      <c r="D3081" s="2" t="s">
        <v>18</v>
      </c>
      <c r="E3081" s="5">
        <v>-29241</v>
      </c>
      <c r="F3081" s="3" t="s">
        <v>1382</v>
      </c>
      <c r="G3081" s="3" t="s">
        <v>33</v>
      </c>
      <c r="H3081" s="2" t="s">
        <v>21</v>
      </c>
      <c r="I3081" s="2" t="s">
        <v>7631</v>
      </c>
      <c r="J3081" s="3" t="str">
        <f>HYPERLINK("https://www.boe.es/gazeta/dias/1819/12/09/pdfs/GMD-1819-151.pdf#page=6","Abrir facsímil")</f>
        <v>Abrir facsímil</v>
      </c>
      <c r="K3081" s="3" t="s">
        <v>23</v>
      </c>
    </row>
    <row r="3082" spans="1:11" ht="42" customHeight="1">
      <c r="A3082" s="2" t="s">
        <v>7629</v>
      </c>
      <c r="B3082" s="2" t="s">
        <v>7630</v>
      </c>
      <c r="C3082" s="2" t="s">
        <v>17</v>
      </c>
      <c r="D3082" s="2" t="s">
        <v>18</v>
      </c>
      <c r="E3082" s="5">
        <v>-29229</v>
      </c>
      <c r="F3082" s="3" t="s">
        <v>44</v>
      </c>
      <c r="G3082" s="3" t="s">
        <v>296</v>
      </c>
      <c r="H3082" s="2" t="s">
        <v>21</v>
      </c>
      <c r="I3082" s="2" t="s">
        <v>7632</v>
      </c>
      <c r="J3082" s="3" t="str">
        <f>HYPERLINK("https://www.boe.es/gazeta/dias/1819/12/21/pdfs/GMD-1819-156.pdf#page=4","Abrir facsímil")</f>
        <v>Abrir facsímil</v>
      </c>
      <c r="K3082" s="3" t="s">
        <v>23</v>
      </c>
    </row>
    <row r="3083" spans="1:11" ht="42" customHeight="1">
      <c r="A3083" s="2" t="s">
        <v>7629</v>
      </c>
      <c r="B3083" s="2" t="s">
        <v>7630</v>
      </c>
      <c r="C3083" s="2" t="s">
        <v>17</v>
      </c>
      <c r="D3083" s="2" t="s">
        <v>18</v>
      </c>
      <c r="E3083" s="5">
        <v>-29222</v>
      </c>
      <c r="F3083" s="3" t="s">
        <v>338</v>
      </c>
      <c r="G3083" s="3" t="s">
        <v>38</v>
      </c>
      <c r="H3083" s="2" t="s">
        <v>21</v>
      </c>
      <c r="I3083" s="2" t="s">
        <v>7633</v>
      </c>
      <c r="J3083" s="3" t="str">
        <f>HYPERLINK("https://www.boe.es/gazeta/dias/1819/12/28/pdfs/GMD-1819-159.pdf#page=5","Abrir facsímil")</f>
        <v>Abrir facsímil</v>
      </c>
      <c r="K3083" s="3" t="s">
        <v>23</v>
      </c>
    </row>
    <row r="3084" spans="1:11" ht="42" customHeight="1">
      <c r="A3084" s="2" t="s">
        <v>7634</v>
      </c>
      <c r="B3084" s="2" t="s">
        <v>7635</v>
      </c>
      <c r="C3084" s="2" t="s">
        <v>17</v>
      </c>
      <c r="D3084" s="2" t="s">
        <v>18</v>
      </c>
      <c r="E3084" s="5">
        <v>-29222</v>
      </c>
      <c r="F3084" s="3" t="s">
        <v>338</v>
      </c>
      <c r="G3084" s="3" t="s">
        <v>38</v>
      </c>
      <c r="H3084" s="2" t="s">
        <v>21</v>
      </c>
      <c r="I3084" s="2" t="s">
        <v>7636</v>
      </c>
      <c r="J3084" s="3" t="str">
        <f>HYPERLINK("https://www.boe.es/gazeta/dias/1819/12/28/pdfs/GMD-1819-159.pdf#page=5","Abrir facsímil")</f>
        <v>Abrir facsímil</v>
      </c>
      <c r="K3084" s="3" t="s">
        <v>23</v>
      </c>
    </row>
    <row r="3085" spans="1:11" ht="42" customHeight="1">
      <c r="A3085" s="2" t="s">
        <v>7637</v>
      </c>
      <c r="B3085" s="2" t="s">
        <v>7638</v>
      </c>
      <c r="C3085" s="2" t="s">
        <v>59</v>
      </c>
      <c r="D3085" s="2" t="s">
        <v>18</v>
      </c>
      <c r="E3085" s="5">
        <v>-29260</v>
      </c>
      <c r="F3085" s="3" t="s">
        <v>93</v>
      </c>
      <c r="G3085" s="3" t="s">
        <v>33</v>
      </c>
      <c r="H3085" s="2" t="s">
        <v>21</v>
      </c>
      <c r="I3085" s="2" t="s">
        <v>7639</v>
      </c>
      <c r="J3085" s="3" t="str">
        <f>HYPERLINK("https://www.boe.es/gazeta/dias/1819/11/20/pdfs/GMD-1819-143.pdf#page=6","Abrir facsímil")</f>
        <v>Abrir facsímil</v>
      </c>
      <c r="K3085" s="3" t="s">
        <v>23</v>
      </c>
    </row>
    <row r="3086" spans="1:11" ht="42" customHeight="1">
      <c r="A3086" s="2" t="s">
        <v>7640</v>
      </c>
      <c r="B3086" s="2" t="s">
        <v>7641</v>
      </c>
      <c r="C3086" s="2" t="s">
        <v>136</v>
      </c>
      <c r="D3086" s="2" t="s">
        <v>18</v>
      </c>
      <c r="E3086" s="5">
        <v>-29260</v>
      </c>
      <c r="F3086" s="3" t="s">
        <v>93</v>
      </c>
      <c r="G3086" s="3" t="s">
        <v>33</v>
      </c>
      <c r="H3086" s="2" t="s">
        <v>21</v>
      </c>
      <c r="I3086" s="2" t="s">
        <v>7642</v>
      </c>
      <c r="J3086" s="3" t="str">
        <f>HYPERLINK("https://www.boe.es/gazeta/dias/1819/11/20/pdfs/GMD-1819-143.pdf#page=6","Abrir facsímil")</f>
        <v>Abrir facsímil</v>
      </c>
      <c r="K3086" s="3" t="s">
        <v>23</v>
      </c>
    </row>
    <row r="3087" spans="1:11" ht="42" customHeight="1">
      <c r="A3087" s="2" t="s">
        <v>7643</v>
      </c>
      <c r="B3087" s="2" t="s">
        <v>7644</v>
      </c>
      <c r="C3087" s="2" t="s">
        <v>17</v>
      </c>
      <c r="D3087" s="2" t="s">
        <v>18</v>
      </c>
      <c r="E3087" s="5">
        <v>-29264</v>
      </c>
      <c r="F3087" s="3" t="s">
        <v>37</v>
      </c>
      <c r="G3087" s="3" t="s">
        <v>33</v>
      </c>
      <c r="H3087" s="2" t="s">
        <v>21</v>
      </c>
      <c r="I3087" s="2" t="s">
        <v>7645</v>
      </c>
      <c r="J3087" s="3" t="str">
        <f>HYPERLINK("https://www.boe.es/gazeta/dias/1819/11/16/pdfs/GMD-1819-141.pdf#page=6","Abrir facsímil")</f>
        <v>Abrir facsímil</v>
      </c>
      <c r="K3087" s="3" t="s">
        <v>23</v>
      </c>
    </row>
    <row r="3088" spans="1:11" ht="42" customHeight="1">
      <c r="A3088" s="2" t="s">
        <v>7646</v>
      </c>
      <c r="B3088" s="2" t="s">
        <v>7647</v>
      </c>
      <c r="C3088" s="2" t="s">
        <v>59</v>
      </c>
      <c r="D3088" s="2" t="s">
        <v>18</v>
      </c>
      <c r="E3088" s="5">
        <v>-29271</v>
      </c>
      <c r="F3088" s="3" t="s">
        <v>32</v>
      </c>
      <c r="G3088" s="3" t="s">
        <v>33</v>
      </c>
      <c r="H3088" s="2" t="s">
        <v>21</v>
      </c>
      <c r="I3088" s="2" t="s">
        <v>7648</v>
      </c>
      <c r="J3088" s="3" t="str">
        <f>HYPERLINK("https://www.boe.es/gazeta/dias/1819/11/09/pdfs/GMD-1819-138.pdf#page=6","Abrir facsímil")</f>
        <v>Abrir facsímil</v>
      </c>
      <c r="K3088" s="3" t="s">
        <v>23</v>
      </c>
    </row>
    <row r="3089" spans="1:11" ht="42" customHeight="1">
      <c r="A3089" s="2" t="s">
        <v>7649</v>
      </c>
      <c r="B3089" s="2" t="s">
        <v>7650</v>
      </c>
      <c r="C3089" s="2" t="s">
        <v>59</v>
      </c>
      <c r="D3089" s="2" t="s">
        <v>18</v>
      </c>
      <c r="E3089" s="5">
        <v>-29269</v>
      </c>
      <c r="F3089" s="3" t="s">
        <v>565</v>
      </c>
      <c r="G3089" s="3" t="s">
        <v>296</v>
      </c>
      <c r="H3089" s="2" t="s">
        <v>21</v>
      </c>
      <c r="I3089" s="2" t="s">
        <v>7651</v>
      </c>
      <c r="J3089" s="3" t="str">
        <f>HYPERLINK("https://www.boe.es/gazeta/dias/1819/11/11/pdfs/GMD-1819-139.pdf#page=4","Abrir facsímil")</f>
        <v>Abrir facsímil</v>
      </c>
      <c r="K3089" s="3" t="s">
        <v>23</v>
      </c>
    </row>
    <row r="3090" spans="1:11" ht="42" customHeight="1">
      <c r="A3090" s="2" t="s">
        <v>7652</v>
      </c>
      <c r="B3090" s="2" t="s">
        <v>7653</v>
      </c>
      <c r="C3090" s="2" t="s">
        <v>59</v>
      </c>
      <c r="D3090" s="2" t="s">
        <v>18</v>
      </c>
      <c r="E3090" s="5">
        <v>-29276</v>
      </c>
      <c r="F3090" s="3" t="s">
        <v>54</v>
      </c>
      <c r="G3090" s="3" t="s">
        <v>55</v>
      </c>
      <c r="H3090" s="2" t="s">
        <v>21</v>
      </c>
      <c r="I3090" s="2" t="s">
        <v>7654</v>
      </c>
      <c r="J3090" s="3" t="str">
        <f>HYPERLINK("https://www.boe.es/gazeta/dias/1819/11/04/pdfs/GMD-1819-136.pdf#page=7","Abrir facsímil")</f>
        <v>Abrir facsímil</v>
      </c>
      <c r="K3090" s="3" t="s">
        <v>23</v>
      </c>
    </row>
    <row r="3091" spans="1:11" ht="42" customHeight="1">
      <c r="A3091" s="2" t="s">
        <v>7655</v>
      </c>
      <c r="B3091" s="2" t="s">
        <v>7656</v>
      </c>
      <c r="C3091" s="2" t="s">
        <v>17</v>
      </c>
      <c r="D3091" s="2" t="s">
        <v>18</v>
      </c>
      <c r="E3091" s="5">
        <v>-29264</v>
      </c>
      <c r="F3091" s="3" t="s">
        <v>37</v>
      </c>
      <c r="G3091" s="3" t="s">
        <v>33</v>
      </c>
      <c r="H3091" s="2" t="s">
        <v>21</v>
      </c>
      <c r="I3091" s="2" t="s">
        <v>7657</v>
      </c>
      <c r="J3091" s="3" t="str">
        <f>HYPERLINK("https://www.boe.es/gazeta/dias/1819/11/16/pdfs/GMD-1819-141.pdf#page=6","Abrir facsímil")</f>
        <v>Abrir facsímil</v>
      </c>
      <c r="K3091" s="3" t="s">
        <v>23</v>
      </c>
    </row>
    <row r="3092" spans="1:11" ht="42" customHeight="1">
      <c r="A3092" s="2" t="s">
        <v>7658</v>
      </c>
      <c r="B3092" s="2" t="s">
        <v>7659</v>
      </c>
      <c r="C3092" s="2" t="s">
        <v>26</v>
      </c>
      <c r="D3092" s="2" t="s">
        <v>18</v>
      </c>
      <c r="E3092" s="5">
        <v>-29253</v>
      </c>
      <c r="F3092" s="3" t="s">
        <v>242</v>
      </c>
      <c r="G3092" s="3" t="s">
        <v>1048</v>
      </c>
      <c r="H3092" s="2" t="s">
        <v>21</v>
      </c>
      <c r="I3092" s="2" t="s">
        <v>7660</v>
      </c>
      <c r="J3092" s="3" t="str">
        <f>HYPERLINK("https://www.boe.es/gazeta/dias/1819/11/27/pdfs/GMD-1819-146.pdf#page=5","Abrir facsímil")</f>
        <v>Abrir facsímil</v>
      </c>
      <c r="K3092" s="3" t="s">
        <v>23</v>
      </c>
    </row>
    <row r="3093" spans="1:11" ht="42" customHeight="1">
      <c r="A3093" s="2" t="s">
        <v>7661</v>
      </c>
      <c r="B3093" s="2" t="s">
        <v>7662</v>
      </c>
      <c r="C3093" s="2" t="s">
        <v>63</v>
      </c>
      <c r="D3093" s="2" t="s">
        <v>43</v>
      </c>
      <c r="E3093" s="5">
        <v>-29253</v>
      </c>
      <c r="F3093" s="3" t="s">
        <v>242</v>
      </c>
      <c r="G3093" s="3" t="s">
        <v>1048</v>
      </c>
      <c r="H3093" s="2" t="s">
        <v>21</v>
      </c>
      <c r="I3093" s="2" t="s">
        <v>7663</v>
      </c>
      <c r="J3093" s="3" t="str">
        <f>HYPERLINK("https://www.boe.es/gazeta/dias/1819/11/27/pdfs/GMD-1819-146.pdf#page=5","Abrir facsímil")</f>
        <v>Abrir facsímil</v>
      </c>
      <c r="K3093" s="3" t="s">
        <v>23</v>
      </c>
    </row>
    <row r="3094" spans="1:11" ht="42" customHeight="1">
      <c r="A3094" s="2" t="s">
        <v>7664</v>
      </c>
      <c r="B3094" s="2" t="s">
        <v>7664</v>
      </c>
      <c r="C3094" s="2" t="s">
        <v>63</v>
      </c>
      <c r="D3094" s="2" t="s">
        <v>43</v>
      </c>
      <c r="E3094" s="5">
        <v>-29281</v>
      </c>
      <c r="F3094" s="3" t="s">
        <v>19</v>
      </c>
      <c r="G3094" s="3" t="s">
        <v>55</v>
      </c>
      <c r="H3094" s="2" t="s">
        <v>65</v>
      </c>
      <c r="I3094" s="2" t="s">
        <v>7665</v>
      </c>
      <c r="J3094" s="3" t="str">
        <f>HYPERLINK("https://www.boe.es/gazeta/dias/1819/10/30/pdfs/GMD-1819-134.pdf#page=7","Abrir facsímil")</f>
        <v>Abrir facsímil</v>
      </c>
      <c r="K3094" s="3" t="s">
        <v>67</v>
      </c>
    </row>
    <row r="3095" spans="1:11" ht="42" customHeight="1">
      <c r="A3095" s="2" t="s">
        <v>7664</v>
      </c>
      <c r="B3095" s="2" t="s">
        <v>7664</v>
      </c>
      <c r="C3095" s="2" t="s">
        <v>17</v>
      </c>
      <c r="D3095" s="2" t="s">
        <v>18</v>
      </c>
      <c r="E3095" s="5">
        <v>-29276</v>
      </c>
      <c r="F3095" s="3" t="s">
        <v>54</v>
      </c>
      <c r="G3095" s="3" t="s">
        <v>55</v>
      </c>
      <c r="H3095" s="2" t="s">
        <v>65</v>
      </c>
      <c r="I3095" s="2" t="s">
        <v>7666</v>
      </c>
      <c r="J3095" s="3" t="str">
        <f>HYPERLINK("https://www.boe.es/gazeta/dias/1819/11/04/pdfs/GMD-1819-136.pdf#page=7","Abrir facsímil")</f>
        <v>Abrir facsímil</v>
      </c>
      <c r="K3095" s="3" t="s">
        <v>67</v>
      </c>
    </row>
    <row r="3096" spans="1:11" ht="42" customHeight="1">
      <c r="A3096" s="2" t="s">
        <v>7664</v>
      </c>
      <c r="B3096" s="2" t="s">
        <v>7664</v>
      </c>
      <c r="C3096" s="2" t="s">
        <v>80</v>
      </c>
      <c r="D3096" s="2" t="s">
        <v>81</v>
      </c>
      <c r="E3096" s="5">
        <v>-29264</v>
      </c>
      <c r="F3096" s="3" t="s">
        <v>37</v>
      </c>
      <c r="G3096" s="3" t="s">
        <v>5761</v>
      </c>
      <c r="H3096" s="2" t="s">
        <v>65</v>
      </c>
      <c r="I3096" s="2" t="s">
        <v>7667</v>
      </c>
      <c r="J3096" s="3" t="str">
        <f>HYPERLINK("https://www.boe.es/gazeta/dias/1819/11/16/pdfs/GMD-1819-141.pdf#page=4","Abrir facsímil")</f>
        <v>Abrir facsímil</v>
      </c>
      <c r="K3096" s="3" t="s">
        <v>67</v>
      </c>
    </row>
    <row r="3097" spans="1:11" ht="42" customHeight="1">
      <c r="A3097" s="2" t="s">
        <v>7668</v>
      </c>
      <c r="B3097" s="2" t="s">
        <v>7669</v>
      </c>
      <c r="C3097" s="2" t="s">
        <v>59</v>
      </c>
      <c r="D3097" s="2" t="s">
        <v>18</v>
      </c>
      <c r="E3097" s="5">
        <v>-29332</v>
      </c>
      <c r="F3097" s="3" t="s">
        <v>499</v>
      </c>
      <c r="G3097" s="3" t="s">
        <v>38</v>
      </c>
      <c r="H3097" s="2" t="s">
        <v>65</v>
      </c>
      <c r="I3097" s="2" t="s">
        <v>7670</v>
      </c>
      <c r="J3097" s="3" t="str">
        <f>HYPERLINK("https://www.boe.es/gazeta/dias/1819/09/09/pdfs/GMD-1819-110.pdf#page=5","Abrir facsímil")</f>
        <v>Abrir facsímil</v>
      </c>
      <c r="K3097" s="3" t="s">
        <v>67</v>
      </c>
    </row>
    <row r="3098" spans="1:11" ht="42" customHeight="1">
      <c r="A3098" s="2" t="s">
        <v>7671</v>
      </c>
      <c r="B3098" s="2" t="s">
        <v>7672</v>
      </c>
      <c r="C3098" s="2" t="s">
        <v>80</v>
      </c>
      <c r="D3098" s="2" t="s">
        <v>81</v>
      </c>
      <c r="E3098" s="5">
        <v>-29442</v>
      </c>
      <c r="F3098" s="3" t="s">
        <v>427</v>
      </c>
      <c r="G3098" s="3" t="s">
        <v>33</v>
      </c>
      <c r="H3098" s="2" t="s">
        <v>65</v>
      </c>
      <c r="I3098" s="2" t="s">
        <v>7673</v>
      </c>
      <c r="J3098" s="3" t="str">
        <f>HYPERLINK("https://www.boe.es/gazeta/dias/1819/05/22/pdfs/GMD-1819-61.pdf#page=6","Abrir facsímil")</f>
        <v>Abrir facsímil</v>
      </c>
      <c r="K3098" s="3" t="s">
        <v>67</v>
      </c>
    </row>
    <row r="3099" spans="1:11" ht="42" customHeight="1">
      <c r="A3099" s="2" t="s">
        <v>7674</v>
      </c>
      <c r="B3099" s="2" t="s">
        <v>7675</v>
      </c>
      <c r="C3099" s="2" t="s">
        <v>17</v>
      </c>
      <c r="D3099" s="2" t="s">
        <v>18</v>
      </c>
      <c r="E3099" s="5">
        <v>-29316</v>
      </c>
      <c r="F3099" s="3" t="s">
        <v>166</v>
      </c>
      <c r="G3099" s="3" t="s">
        <v>55</v>
      </c>
      <c r="H3099" s="2" t="s">
        <v>65</v>
      </c>
      <c r="I3099" s="2" t="s">
        <v>7676</v>
      </c>
      <c r="J3099" s="3" t="str">
        <f>HYPERLINK("https://www.boe.es/gazeta/dias/1819/09/25/pdfs/GMD-1819-118.pdf#page=7","Abrir facsímil")</f>
        <v>Abrir facsímil</v>
      </c>
      <c r="K3099" s="3" t="s">
        <v>67</v>
      </c>
    </row>
    <row r="3100" spans="1:11" ht="42" customHeight="1">
      <c r="A3100" s="2" t="s">
        <v>7677</v>
      </c>
      <c r="B3100" s="2" t="s">
        <v>7678</v>
      </c>
      <c r="C3100" s="2" t="s">
        <v>59</v>
      </c>
      <c r="D3100" s="2" t="s">
        <v>18</v>
      </c>
      <c r="E3100" s="5">
        <v>-29416</v>
      </c>
      <c r="F3100" s="3" t="s">
        <v>251</v>
      </c>
      <c r="G3100" s="3" t="s">
        <v>55</v>
      </c>
      <c r="H3100" s="2" t="s">
        <v>65</v>
      </c>
      <c r="I3100" s="2" t="s">
        <v>7679</v>
      </c>
      <c r="J3100" s="3" t="str">
        <f>HYPERLINK("https://www.boe.es/gazeta/dias/1819/06/17/pdfs/GMD-1819-73.pdf#page=7","Abrir facsímil")</f>
        <v>Abrir facsímil</v>
      </c>
      <c r="K3100" s="3" t="s">
        <v>67</v>
      </c>
    </row>
    <row r="3101" spans="1:11" ht="42" customHeight="1">
      <c r="A3101" s="2" t="s">
        <v>7680</v>
      </c>
      <c r="B3101" s="2" t="s">
        <v>7680</v>
      </c>
      <c r="C3101" s="2" t="s">
        <v>80</v>
      </c>
      <c r="D3101" s="2" t="s">
        <v>81</v>
      </c>
      <c r="E3101" s="5">
        <v>-29444</v>
      </c>
      <c r="F3101" s="3" t="s">
        <v>258</v>
      </c>
      <c r="G3101" s="3" t="s">
        <v>33</v>
      </c>
      <c r="H3101" s="2" t="s">
        <v>65</v>
      </c>
      <c r="I3101" s="2" t="s">
        <v>7681</v>
      </c>
      <c r="J3101" s="3" t="str">
        <f>HYPERLINK("https://www.boe.es/gazeta/dias/1819/05/20/pdfs/GMD-1819-60.pdf#page=6","Abrir facsímil")</f>
        <v>Abrir facsímil</v>
      </c>
      <c r="K3101" s="3" t="s">
        <v>67</v>
      </c>
    </row>
    <row r="3102" spans="1:11" ht="42" customHeight="1">
      <c r="A3102" s="2" t="s">
        <v>7682</v>
      </c>
      <c r="B3102" s="2" t="s">
        <v>7682</v>
      </c>
      <c r="C3102" s="2" t="s">
        <v>80</v>
      </c>
      <c r="D3102" s="2" t="s">
        <v>81</v>
      </c>
      <c r="E3102" s="5">
        <v>-29383</v>
      </c>
      <c r="F3102" s="3" t="s">
        <v>631</v>
      </c>
      <c r="G3102" s="3" t="s">
        <v>5312</v>
      </c>
      <c r="H3102" s="2" t="s">
        <v>65</v>
      </c>
      <c r="I3102" s="2" t="s">
        <v>7683</v>
      </c>
      <c r="J3102" s="3" t="str">
        <f>HYPERLINK("https://www.boe.es/gazeta/dias/1819/07/20/pdfs/GMD-1819-87.pdf#page=4","Abrir facsímil")</f>
        <v>Abrir facsímil</v>
      </c>
      <c r="K3102" s="3" t="s">
        <v>67</v>
      </c>
    </row>
    <row r="3103" spans="1:11" ht="42" customHeight="1">
      <c r="A3103" s="2" t="s">
        <v>7684</v>
      </c>
      <c r="B3103" s="2" t="s">
        <v>7685</v>
      </c>
      <c r="C3103" s="2" t="s">
        <v>80</v>
      </c>
      <c r="D3103" s="2" t="s">
        <v>81</v>
      </c>
      <c r="E3103" s="5">
        <v>-29297</v>
      </c>
      <c r="F3103" s="3" t="s">
        <v>82</v>
      </c>
      <c r="G3103" s="3" t="s">
        <v>28</v>
      </c>
      <c r="H3103" s="2" t="s">
        <v>65</v>
      </c>
      <c r="I3103" s="2" t="s">
        <v>7686</v>
      </c>
      <c r="J3103" s="3" t="str">
        <f>HYPERLINK("https://www.boe.es/gazeta/dias/1819/10/14/pdfs/GMD-1819-126.pdf#page=8","Abrir facsímil")</f>
        <v>Abrir facsímil</v>
      </c>
      <c r="K3103" s="3" t="s">
        <v>67</v>
      </c>
    </row>
    <row r="3104" spans="1:11" ht="42" customHeight="1">
      <c r="A3104" s="2" t="s">
        <v>7687</v>
      </c>
      <c r="B3104" s="2" t="s">
        <v>7688</v>
      </c>
      <c r="C3104" s="2" t="s">
        <v>80</v>
      </c>
      <c r="D3104" s="2" t="s">
        <v>81</v>
      </c>
      <c r="E3104" s="5">
        <v>-29297</v>
      </c>
      <c r="F3104" s="3" t="s">
        <v>82</v>
      </c>
      <c r="G3104" s="3" t="s">
        <v>28</v>
      </c>
      <c r="H3104" s="2" t="s">
        <v>65</v>
      </c>
      <c r="I3104" s="2" t="s">
        <v>7689</v>
      </c>
      <c r="J3104" s="3" t="str">
        <f>HYPERLINK("https://www.boe.es/gazeta/dias/1819/10/14/pdfs/GMD-1819-126.pdf#page=8","Abrir facsímil")</f>
        <v>Abrir facsímil</v>
      </c>
      <c r="K3104" s="3" t="s">
        <v>67</v>
      </c>
    </row>
    <row r="3105" spans="1:11" ht="42" customHeight="1">
      <c r="A3105" s="2" t="s">
        <v>7690</v>
      </c>
      <c r="B3105" s="2" t="s">
        <v>7691</v>
      </c>
      <c r="C3105" s="2" t="s">
        <v>26</v>
      </c>
      <c r="D3105" s="2" t="s">
        <v>18</v>
      </c>
      <c r="E3105" s="5">
        <v>-29379</v>
      </c>
      <c r="F3105" s="3" t="s">
        <v>161</v>
      </c>
      <c r="G3105" s="3" t="s">
        <v>162</v>
      </c>
      <c r="H3105" s="2" t="s">
        <v>65</v>
      </c>
      <c r="I3105" s="2" t="s">
        <v>7692</v>
      </c>
      <c r="J3105" s="3" t="str">
        <f>HYPERLINK("https://www.boe.es/gazeta/dias/1819/07/24/pdfs/GMD-1819-89.pdf#page=5","Abrir facsímil")</f>
        <v>Abrir facsímil</v>
      </c>
      <c r="K3105" s="3" t="s">
        <v>67</v>
      </c>
    </row>
    <row r="3106" spans="1:11" ht="42" customHeight="1">
      <c r="A3106" s="2" t="s">
        <v>7693</v>
      </c>
      <c r="B3106" s="2" t="s">
        <v>7694</v>
      </c>
      <c r="C3106" s="2" t="s">
        <v>80</v>
      </c>
      <c r="D3106" s="2" t="s">
        <v>81</v>
      </c>
      <c r="E3106" s="5">
        <v>-29351</v>
      </c>
      <c r="F3106" s="3" t="s">
        <v>101</v>
      </c>
      <c r="G3106" s="3" t="s">
        <v>3292</v>
      </c>
      <c r="H3106" s="2" t="s">
        <v>65</v>
      </c>
      <c r="I3106" s="2" t="s">
        <v>7695</v>
      </c>
      <c r="J3106" s="3" t="str">
        <f>HYPERLINK("https://www.boe.es/gazeta/dias/1819/08/21/pdfs/GMD-1819-101.pdf#page=4","Abrir facsímil")</f>
        <v>Abrir facsímil</v>
      </c>
      <c r="K3106" s="3" t="s">
        <v>67</v>
      </c>
    </row>
    <row r="3107" spans="1:11" ht="42" customHeight="1">
      <c r="A3107" s="2" t="s">
        <v>7696</v>
      </c>
      <c r="B3107" s="2" t="s">
        <v>7697</v>
      </c>
      <c r="C3107" s="2" t="s">
        <v>80</v>
      </c>
      <c r="D3107" s="2" t="s">
        <v>81</v>
      </c>
      <c r="E3107" s="5">
        <v>-29297</v>
      </c>
      <c r="F3107" s="3" t="s">
        <v>82</v>
      </c>
      <c r="G3107" s="3" t="s">
        <v>33</v>
      </c>
      <c r="H3107" s="2" t="s">
        <v>65</v>
      </c>
      <c r="I3107" s="2" t="s">
        <v>7698</v>
      </c>
      <c r="J3107" s="3" t="str">
        <f>HYPERLINK("https://www.boe.es/gazeta/dias/1819/10/14/pdfs/GMD-1819-126.pdf#page=6","Abrir facsímil")</f>
        <v>Abrir facsímil</v>
      </c>
      <c r="K3107" s="3" t="s">
        <v>67</v>
      </c>
    </row>
    <row r="3108" spans="1:11" ht="42" customHeight="1">
      <c r="A3108" s="2" t="s">
        <v>7699</v>
      </c>
      <c r="B3108" s="2" t="s">
        <v>7700</v>
      </c>
      <c r="C3108" s="2" t="s">
        <v>17</v>
      </c>
      <c r="D3108" s="2" t="s">
        <v>18</v>
      </c>
      <c r="E3108" s="5">
        <v>-29390</v>
      </c>
      <c r="F3108" s="3" t="s">
        <v>263</v>
      </c>
      <c r="G3108" s="3" t="s">
        <v>55</v>
      </c>
      <c r="H3108" s="2" t="s">
        <v>65</v>
      </c>
      <c r="I3108" s="2" t="s">
        <v>7701</v>
      </c>
      <c r="J3108" s="3" t="str">
        <f>HYPERLINK("https://www.boe.es/gazeta/dias/1819/07/13/pdfs/GMD-1819-84.pdf#page=7","Abrir facsímil")</f>
        <v>Abrir facsímil</v>
      </c>
      <c r="K3108" s="3" t="s">
        <v>67</v>
      </c>
    </row>
    <row r="3109" spans="1:11" ht="42" customHeight="1">
      <c r="A3109" s="2" t="s">
        <v>7702</v>
      </c>
      <c r="B3109" s="2" t="s">
        <v>7703</v>
      </c>
      <c r="C3109" s="2" t="s">
        <v>215</v>
      </c>
      <c r="D3109" s="2" t="s">
        <v>18</v>
      </c>
      <c r="E3109" s="5">
        <v>-29570</v>
      </c>
      <c r="F3109" s="3" t="s">
        <v>2008</v>
      </c>
      <c r="G3109" s="3" t="s">
        <v>55</v>
      </c>
      <c r="H3109" s="2" t="s">
        <v>65</v>
      </c>
      <c r="I3109" s="2" t="s">
        <v>7704</v>
      </c>
      <c r="J3109" s="3" t="str">
        <f>HYPERLINK("https://www.boe.es/gazeta/dias/1819/01/14/pdfs/GMD-1819-6.pdf#page=7","Abrir facsímil")</f>
        <v>Abrir facsímil</v>
      </c>
      <c r="K3109" s="3" t="s">
        <v>67</v>
      </c>
    </row>
    <row r="3110" spans="1:11" ht="42" customHeight="1">
      <c r="A3110" s="2" t="s">
        <v>7705</v>
      </c>
      <c r="B3110" s="2" t="s">
        <v>7706</v>
      </c>
      <c r="C3110" s="2" t="s">
        <v>80</v>
      </c>
      <c r="D3110" s="2" t="s">
        <v>81</v>
      </c>
      <c r="E3110" s="5">
        <v>-29297</v>
      </c>
      <c r="F3110" s="3" t="s">
        <v>82</v>
      </c>
      <c r="G3110" s="3" t="s">
        <v>33</v>
      </c>
      <c r="H3110" s="2" t="s">
        <v>65</v>
      </c>
      <c r="I3110" s="2" t="s">
        <v>7707</v>
      </c>
      <c r="J3110" s="3" t="str">
        <f>HYPERLINK("https://www.boe.es/gazeta/dias/1819/10/14/pdfs/GMD-1819-126.pdf#page=6","Abrir facsímil")</f>
        <v>Abrir facsímil</v>
      </c>
      <c r="K3110" s="3" t="s">
        <v>67</v>
      </c>
    </row>
    <row r="3111" spans="1:11" ht="42" customHeight="1">
      <c r="A3111" s="2" t="s">
        <v>7708</v>
      </c>
      <c r="B3111" s="2" t="s">
        <v>7709</v>
      </c>
      <c r="C3111" s="2" t="s">
        <v>80</v>
      </c>
      <c r="D3111" s="2" t="s">
        <v>81</v>
      </c>
      <c r="E3111" s="5">
        <v>-29297</v>
      </c>
      <c r="F3111" s="3" t="s">
        <v>82</v>
      </c>
      <c r="G3111" s="3" t="s">
        <v>33</v>
      </c>
      <c r="H3111" s="2" t="s">
        <v>65</v>
      </c>
      <c r="I3111" s="2" t="s">
        <v>7710</v>
      </c>
      <c r="J3111" s="3" t="str">
        <f>HYPERLINK("https://www.boe.es/gazeta/dias/1819/10/14/pdfs/GMD-1819-126.pdf#page=6","Abrir facsímil")</f>
        <v>Abrir facsímil</v>
      </c>
      <c r="K3111" s="3" t="s">
        <v>67</v>
      </c>
    </row>
    <row r="3112" spans="1:11" ht="42" customHeight="1">
      <c r="A3112" s="2" t="s">
        <v>7711</v>
      </c>
      <c r="B3112" s="2" t="s">
        <v>7712</v>
      </c>
      <c r="C3112" s="2" t="s">
        <v>63</v>
      </c>
      <c r="D3112" s="2" t="s">
        <v>43</v>
      </c>
      <c r="E3112" s="5">
        <v>-29379</v>
      </c>
      <c r="F3112" s="3" t="s">
        <v>161</v>
      </c>
      <c r="G3112" s="3" t="s">
        <v>162</v>
      </c>
      <c r="H3112" s="2" t="s">
        <v>65</v>
      </c>
      <c r="I3112" s="2" t="s">
        <v>7713</v>
      </c>
      <c r="J3112" s="3" t="str">
        <f>HYPERLINK("https://www.boe.es/gazeta/dias/1819/07/24/pdfs/GMD-1819-89.pdf#page=5","Abrir facsímil")</f>
        <v>Abrir facsímil</v>
      </c>
      <c r="K3112" s="3" t="s">
        <v>67</v>
      </c>
    </row>
    <row r="3113" spans="1:11" ht="42" customHeight="1">
      <c r="A3113" s="2" t="s">
        <v>7714</v>
      </c>
      <c r="B3113" s="2" t="s">
        <v>7715</v>
      </c>
      <c r="C3113" s="2" t="s">
        <v>59</v>
      </c>
      <c r="D3113" s="2" t="s">
        <v>18</v>
      </c>
      <c r="E3113" s="5">
        <v>-29365</v>
      </c>
      <c r="F3113" s="3" t="s">
        <v>218</v>
      </c>
      <c r="G3113" s="3" t="s">
        <v>38</v>
      </c>
      <c r="H3113" s="2" t="s">
        <v>65</v>
      </c>
      <c r="I3113" s="2" t="s">
        <v>7716</v>
      </c>
      <c r="J3113" s="3" t="str">
        <f>HYPERLINK("https://www.boe.es/gazeta/dias/1819/08/07/pdfs/GMD-1819-95.pdf#page=5","Abrir facsímil")</f>
        <v>Abrir facsímil</v>
      </c>
      <c r="K3113" s="3" t="s">
        <v>67</v>
      </c>
    </row>
    <row r="3114" spans="1:11" ht="42" customHeight="1">
      <c r="A3114" s="2" t="s">
        <v>7717</v>
      </c>
      <c r="B3114" s="2" t="s">
        <v>7717</v>
      </c>
      <c r="C3114" s="2" t="s">
        <v>80</v>
      </c>
      <c r="D3114" s="2" t="s">
        <v>81</v>
      </c>
      <c r="E3114" s="5">
        <v>-29579</v>
      </c>
      <c r="F3114" s="3" t="s">
        <v>186</v>
      </c>
      <c r="G3114" s="3" t="s">
        <v>55</v>
      </c>
      <c r="H3114" s="2" t="s">
        <v>65</v>
      </c>
      <c r="I3114" s="2" t="s">
        <v>7718</v>
      </c>
      <c r="J3114" s="3" t="str">
        <f>HYPERLINK("https://www.boe.es/gazeta/dias/1819/01/05/pdfs/GMD-1819-2.pdf#page=7","Abrir facsímil")</f>
        <v>Abrir facsímil</v>
      </c>
      <c r="K3114" s="3" t="s">
        <v>67</v>
      </c>
    </row>
    <row r="3115" spans="1:11" ht="42" customHeight="1">
      <c r="A3115" s="2" t="s">
        <v>7717</v>
      </c>
      <c r="B3115" s="2" t="s">
        <v>7717</v>
      </c>
      <c r="C3115" s="2" t="s">
        <v>63</v>
      </c>
      <c r="D3115" s="2" t="s">
        <v>43</v>
      </c>
      <c r="E3115" s="5">
        <v>-29516</v>
      </c>
      <c r="F3115" s="3" t="s">
        <v>137</v>
      </c>
      <c r="G3115" s="3" t="s">
        <v>296</v>
      </c>
      <c r="H3115" s="2" t="s">
        <v>65</v>
      </c>
      <c r="I3115" s="2" t="s">
        <v>7719</v>
      </c>
      <c r="J3115" s="3" t="str">
        <f>HYPERLINK("https://www.boe.es/gazeta/dias/1819/03/09/pdfs/GMD-1819-29.pdf#page=4","Abrir facsímil")</f>
        <v>Abrir facsímil</v>
      </c>
      <c r="K3115" s="3" t="s">
        <v>67</v>
      </c>
    </row>
    <row r="3116" spans="1:11" ht="42" customHeight="1">
      <c r="A3116" s="2" t="s">
        <v>7720</v>
      </c>
      <c r="B3116" s="2" t="s">
        <v>7721</v>
      </c>
      <c r="C3116" s="2" t="s">
        <v>59</v>
      </c>
      <c r="D3116" s="2" t="s">
        <v>18</v>
      </c>
      <c r="E3116" s="5">
        <v>-29325</v>
      </c>
      <c r="F3116" s="3" t="s">
        <v>174</v>
      </c>
      <c r="G3116" s="3" t="s">
        <v>33</v>
      </c>
      <c r="H3116" s="2" t="s">
        <v>65</v>
      </c>
      <c r="I3116" s="2" t="s">
        <v>7722</v>
      </c>
      <c r="J3116" s="3" t="str">
        <f>HYPERLINK("https://www.boe.es/gazeta/dias/1819/09/16/pdfs/GMD-1819-113.pdf#page=6","Abrir facsímil")</f>
        <v>Abrir facsímil</v>
      </c>
      <c r="K3116" s="3" t="s">
        <v>67</v>
      </c>
    </row>
    <row r="3117" spans="1:11" ht="42" customHeight="1">
      <c r="A3117" s="2" t="s">
        <v>7723</v>
      </c>
      <c r="B3117" s="2" t="s">
        <v>7724</v>
      </c>
      <c r="C3117" s="2" t="s">
        <v>59</v>
      </c>
      <c r="D3117" s="2" t="s">
        <v>18</v>
      </c>
      <c r="E3117" s="5">
        <v>-29530</v>
      </c>
      <c r="F3117" s="3" t="s">
        <v>202</v>
      </c>
      <c r="G3117" s="3" t="s">
        <v>55</v>
      </c>
      <c r="H3117" s="2" t="s">
        <v>65</v>
      </c>
      <c r="I3117" s="2" t="s">
        <v>7725</v>
      </c>
      <c r="J3117" s="3" t="str">
        <f>HYPERLINK("https://www.boe.es/gazeta/dias/1819/02/23/pdfs/GMD-1819-23.pdf#page=7","Abrir facsímil")</f>
        <v>Abrir facsímil</v>
      </c>
      <c r="K3117" s="3" t="s">
        <v>67</v>
      </c>
    </row>
    <row r="3118" spans="1:11" ht="42" customHeight="1">
      <c r="A3118" s="2" t="s">
        <v>7726</v>
      </c>
      <c r="B3118" s="2" t="s">
        <v>7727</v>
      </c>
      <c r="C3118" s="2" t="s">
        <v>63</v>
      </c>
      <c r="D3118" s="2" t="s">
        <v>43</v>
      </c>
      <c r="E3118" s="5">
        <v>-29435</v>
      </c>
      <c r="F3118" s="3" t="s">
        <v>191</v>
      </c>
      <c r="G3118" s="3" t="s">
        <v>33</v>
      </c>
      <c r="H3118" s="2" t="s">
        <v>65</v>
      </c>
      <c r="I3118" s="2" t="s">
        <v>7728</v>
      </c>
      <c r="J3118" s="3" t="str">
        <f>HYPERLINK("https://www.boe.es/gazeta/dias/1819/05/29/pdfs/GMD-1819-64.pdf#page=6","Abrir facsímil")</f>
        <v>Abrir facsímil</v>
      </c>
      <c r="K3118" s="3" t="s">
        <v>67</v>
      </c>
    </row>
    <row r="3119" spans="1:11" ht="42" customHeight="1">
      <c r="A3119" s="2" t="s">
        <v>7729</v>
      </c>
      <c r="B3119" s="2" t="s">
        <v>7730</v>
      </c>
      <c r="C3119" s="2" t="s">
        <v>80</v>
      </c>
      <c r="D3119" s="2" t="s">
        <v>81</v>
      </c>
      <c r="E3119" s="5">
        <v>-29297</v>
      </c>
      <c r="F3119" s="3" t="s">
        <v>82</v>
      </c>
      <c r="G3119" s="3" t="s">
        <v>33</v>
      </c>
      <c r="H3119" s="2" t="s">
        <v>65</v>
      </c>
      <c r="I3119" s="2" t="s">
        <v>7731</v>
      </c>
      <c r="J3119" s="3" t="str">
        <f>HYPERLINK("https://www.boe.es/gazeta/dias/1819/10/14/pdfs/GMD-1819-126.pdf#page=6","Abrir facsímil")</f>
        <v>Abrir facsímil</v>
      </c>
      <c r="K3119" s="3" t="s">
        <v>67</v>
      </c>
    </row>
    <row r="3120" spans="1:11" ht="42" customHeight="1">
      <c r="A3120" s="2" t="s">
        <v>7732</v>
      </c>
      <c r="B3120" s="2" t="s">
        <v>7733</v>
      </c>
      <c r="C3120" s="2" t="s">
        <v>80</v>
      </c>
      <c r="D3120" s="2" t="s">
        <v>81</v>
      </c>
      <c r="E3120" s="5">
        <v>-29297</v>
      </c>
      <c r="F3120" s="3" t="s">
        <v>82</v>
      </c>
      <c r="G3120" s="3" t="s">
        <v>33</v>
      </c>
      <c r="H3120" s="2" t="s">
        <v>65</v>
      </c>
      <c r="I3120" s="2" t="s">
        <v>7734</v>
      </c>
      <c r="J3120" s="3" t="str">
        <f>HYPERLINK("https://www.boe.es/gazeta/dias/1819/10/14/pdfs/GMD-1819-126.pdf#page=6","Abrir facsímil")</f>
        <v>Abrir facsímil</v>
      </c>
      <c r="K3120" s="3" t="s">
        <v>67</v>
      </c>
    </row>
    <row r="3121" spans="1:11" ht="42" customHeight="1">
      <c r="A3121" s="2" t="s">
        <v>7735</v>
      </c>
      <c r="B3121" s="2" t="s">
        <v>7735</v>
      </c>
      <c r="C3121" s="2" t="s">
        <v>80</v>
      </c>
      <c r="D3121" s="2" t="s">
        <v>81</v>
      </c>
      <c r="E3121" s="5">
        <v>-29502</v>
      </c>
      <c r="F3121" s="3" t="s">
        <v>86</v>
      </c>
      <c r="G3121" s="3" t="s">
        <v>2658</v>
      </c>
      <c r="H3121" s="2" t="s">
        <v>65</v>
      </c>
      <c r="I3121" s="2" t="s">
        <v>7736</v>
      </c>
      <c r="J3121" s="3" t="str">
        <f>HYPERLINK("https://www.boe.es/gazeta/dias/1819/03/23/pdfs/GMD-1819-35.pdf#page=4","Abrir facsímil")</f>
        <v>Abrir facsímil</v>
      </c>
      <c r="K3121" s="3" t="s">
        <v>67</v>
      </c>
    </row>
    <row r="3122" spans="1:11" ht="42" customHeight="1">
      <c r="A3122" s="2" t="s">
        <v>7737</v>
      </c>
      <c r="B3122" s="2" t="s">
        <v>7737</v>
      </c>
      <c r="C3122" s="2" t="s">
        <v>17</v>
      </c>
      <c r="D3122" s="2" t="s">
        <v>18</v>
      </c>
      <c r="E3122" s="5">
        <v>-29547</v>
      </c>
      <c r="F3122" s="3" t="s">
        <v>238</v>
      </c>
      <c r="G3122" s="3" t="s">
        <v>296</v>
      </c>
      <c r="H3122" s="2" t="s">
        <v>65</v>
      </c>
      <c r="I3122" s="2" t="s">
        <v>7738</v>
      </c>
      <c r="J3122" s="3" t="str">
        <f>HYPERLINK("https://www.boe.es/gazeta/dias/1819/02/06/pdfs/GMD-1819-16.pdf#page=4","Abrir facsímil")</f>
        <v>Abrir facsímil</v>
      </c>
      <c r="K3122" s="3" t="s">
        <v>67</v>
      </c>
    </row>
    <row r="3123" spans="1:11" ht="42" customHeight="1">
      <c r="A3123" s="2" t="s">
        <v>7739</v>
      </c>
      <c r="B3123" s="2" t="s">
        <v>7739</v>
      </c>
      <c r="C3123" s="2" t="s">
        <v>17</v>
      </c>
      <c r="D3123" s="2" t="s">
        <v>18</v>
      </c>
      <c r="E3123" s="5">
        <v>-29255</v>
      </c>
      <c r="F3123" s="3" t="s">
        <v>357</v>
      </c>
      <c r="G3123" s="3" t="s">
        <v>259</v>
      </c>
      <c r="H3123" s="2" t="s">
        <v>65</v>
      </c>
      <c r="I3123" s="2" t="s">
        <v>7740</v>
      </c>
      <c r="J3123" s="3" t="str">
        <f>HYPERLINK("https://www.boe.es/gazeta/dias/1819/11/25/pdfs/GMD-1819-145.pdf#page=2","Abrir facsímil")</f>
        <v>Abrir facsímil</v>
      </c>
      <c r="K3123" s="3" t="s">
        <v>67</v>
      </c>
    </row>
    <row r="3124" spans="1:11" ht="42" customHeight="1">
      <c r="A3124" s="2" t="s">
        <v>7741</v>
      </c>
      <c r="B3124" s="2" t="s">
        <v>7741</v>
      </c>
      <c r="C3124" s="2" t="s">
        <v>80</v>
      </c>
      <c r="D3124" s="2" t="s">
        <v>81</v>
      </c>
      <c r="E3124" s="5">
        <v>-29502</v>
      </c>
      <c r="F3124" s="3" t="s">
        <v>86</v>
      </c>
      <c r="G3124" s="3" t="s">
        <v>2658</v>
      </c>
      <c r="H3124" s="2" t="s">
        <v>65</v>
      </c>
      <c r="I3124" s="2" t="s">
        <v>7742</v>
      </c>
      <c r="J3124" s="3" t="str">
        <f>HYPERLINK("https://www.boe.es/gazeta/dias/1819/03/23/pdfs/GMD-1819-35.pdf#page=4","Abrir facsímil")</f>
        <v>Abrir facsímil</v>
      </c>
      <c r="K3124" s="3" t="s">
        <v>67</v>
      </c>
    </row>
    <row r="3125" spans="1:11" ht="42" customHeight="1">
      <c r="A3125" s="2" t="s">
        <v>7743</v>
      </c>
      <c r="B3125" s="2" t="s">
        <v>7743</v>
      </c>
      <c r="C3125" s="2" t="s">
        <v>63</v>
      </c>
      <c r="D3125" s="2" t="s">
        <v>43</v>
      </c>
      <c r="E3125" s="5">
        <v>-29521</v>
      </c>
      <c r="F3125" s="3" t="s">
        <v>1002</v>
      </c>
      <c r="G3125" s="3" t="s">
        <v>28</v>
      </c>
      <c r="H3125" s="2" t="s">
        <v>65</v>
      </c>
      <c r="I3125" s="2" t="s">
        <v>7744</v>
      </c>
      <c r="J3125" s="3" t="str">
        <f>HYPERLINK("https://www.boe.es/gazeta/dias/1819/03/04/pdfs/GMD-1819-27.pdf#page=8","Abrir facsímil")</f>
        <v>Abrir facsímil</v>
      </c>
      <c r="K3125" s="3" t="s">
        <v>67</v>
      </c>
    </row>
    <row r="3126" spans="1:11" ht="42" customHeight="1">
      <c r="A3126" s="2" t="s">
        <v>7745</v>
      </c>
      <c r="B3126" s="2" t="s">
        <v>7746</v>
      </c>
      <c r="C3126" s="2" t="s">
        <v>63</v>
      </c>
      <c r="D3126" s="2" t="s">
        <v>43</v>
      </c>
      <c r="E3126" s="5">
        <v>-29416</v>
      </c>
      <c r="F3126" s="3" t="s">
        <v>251</v>
      </c>
      <c r="G3126" s="3" t="s">
        <v>55</v>
      </c>
      <c r="H3126" s="2" t="s">
        <v>65</v>
      </c>
      <c r="I3126" s="2" t="s">
        <v>7747</v>
      </c>
      <c r="J3126" s="3" t="str">
        <f>HYPERLINK("https://www.boe.es/gazeta/dias/1819/06/17/pdfs/GMD-1819-73.pdf#page=7","Abrir facsímil")</f>
        <v>Abrir facsímil</v>
      </c>
      <c r="K3126" s="3" t="s">
        <v>67</v>
      </c>
    </row>
    <row r="3127" spans="1:11" ht="42" customHeight="1">
      <c r="A3127" s="2" t="s">
        <v>7748</v>
      </c>
      <c r="B3127" s="2" t="s">
        <v>7749</v>
      </c>
      <c r="C3127" s="2" t="s">
        <v>63</v>
      </c>
      <c r="D3127" s="2" t="s">
        <v>43</v>
      </c>
      <c r="E3127" s="5">
        <v>-29572</v>
      </c>
      <c r="F3127" s="3" t="s">
        <v>589</v>
      </c>
      <c r="G3127" s="3" t="s">
        <v>590</v>
      </c>
      <c r="H3127" s="2" t="s">
        <v>65</v>
      </c>
      <c r="I3127" s="2" t="s">
        <v>7750</v>
      </c>
      <c r="J3127" s="3" t="str">
        <f>HYPERLINK("https://www.boe.es/gazeta/dias/1819/01/12/pdfs/GMD-1819-5.pdf#page=8","Abrir facsímil")</f>
        <v>Abrir facsímil</v>
      </c>
      <c r="K3127" s="3" t="s">
        <v>67</v>
      </c>
    </row>
    <row r="3128" spans="1:11" ht="42" customHeight="1">
      <c r="A3128" s="2" t="s">
        <v>7748</v>
      </c>
      <c r="B3128" s="2" t="s">
        <v>7749</v>
      </c>
      <c r="C3128" s="2" t="s">
        <v>63</v>
      </c>
      <c r="D3128" s="2" t="s">
        <v>43</v>
      </c>
      <c r="E3128" s="5">
        <v>-29516</v>
      </c>
      <c r="F3128" s="3" t="s">
        <v>137</v>
      </c>
      <c r="G3128" s="3" t="s">
        <v>138</v>
      </c>
      <c r="H3128" s="2" t="s">
        <v>65</v>
      </c>
      <c r="I3128" s="2" t="s">
        <v>7751</v>
      </c>
      <c r="J3128" s="3" t="str">
        <f>HYPERLINK("https://www.boe.es/gazeta/dias/1819/03/09/pdfs/GMD-1819-29.pdf#page=12","Abrir facsímil")</f>
        <v>Abrir facsímil</v>
      </c>
      <c r="K3128" s="3" t="s">
        <v>67</v>
      </c>
    </row>
    <row r="3129" spans="1:11" ht="42" customHeight="1">
      <c r="A3129" s="2" t="s">
        <v>7748</v>
      </c>
      <c r="B3129" s="2" t="s">
        <v>7749</v>
      </c>
      <c r="C3129" s="2" t="s">
        <v>63</v>
      </c>
      <c r="D3129" s="2" t="s">
        <v>43</v>
      </c>
      <c r="E3129" s="5">
        <v>-29498</v>
      </c>
      <c r="F3129" s="3" t="s">
        <v>119</v>
      </c>
      <c r="G3129" s="3" t="s">
        <v>6242</v>
      </c>
      <c r="H3129" s="2" t="s">
        <v>65</v>
      </c>
      <c r="I3129" s="2" t="s">
        <v>7752</v>
      </c>
      <c r="J3129" s="3" t="str">
        <f>HYPERLINK("https://www.boe.es/gazeta/dias/1819/03/27/pdfs/GMD-1819-37.pdf#page=7","Abrir facsímil")</f>
        <v>Abrir facsímil</v>
      </c>
      <c r="K3129" s="3" t="s">
        <v>67</v>
      </c>
    </row>
    <row r="3130" spans="1:11" ht="42" customHeight="1">
      <c r="A3130" s="2" t="s">
        <v>7748</v>
      </c>
      <c r="B3130" s="2" t="s">
        <v>7749</v>
      </c>
      <c r="C3130" s="2" t="s">
        <v>63</v>
      </c>
      <c r="D3130" s="2" t="s">
        <v>43</v>
      </c>
      <c r="E3130" s="5">
        <v>-29498</v>
      </c>
      <c r="F3130" s="3" t="s">
        <v>119</v>
      </c>
      <c r="G3130" s="3" t="s">
        <v>28</v>
      </c>
      <c r="H3130" s="2" t="s">
        <v>65</v>
      </c>
      <c r="I3130" s="2" t="s">
        <v>7753</v>
      </c>
      <c r="J3130" s="3" t="str">
        <f>HYPERLINK("https://www.boe.es/gazeta/dias/1819/03/27/pdfs/GMD-1819-37.pdf#page=8","Abrir facsímil")</f>
        <v>Abrir facsímil</v>
      </c>
      <c r="K3130" s="3" t="s">
        <v>67</v>
      </c>
    </row>
    <row r="3131" spans="1:11" ht="42" customHeight="1">
      <c r="A3131" s="2" t="s">
        <v>7748</v>
      </c>
      <c r="B3131" s="2" t="s">
        <v>7749</v>
      </c>
      <c r="C3131" s="2" t="s">
        <v>63</v>
      </c>
      <c r="D3131" s="2" t="s">
        <v>43</v>
      </c>
      <c r="E3131" s="5">
        <v>-29460</v>
      </c>
      <c r="F3131" s="3" t="s">
        <v>1534</v>
      </c>
      <c r="G3131" s="3" t="s">
        <v>28</v>
      </c>
      <c r="H3131" s="2" t="s">
        <v>65</v>
      </c>
      <c r="I3131" s="2" t="s">
        <v>7754</v>
      </c>
      <c r="J3131" s="3" t="str">
        <f>HYPERLINK("https://www.boe.es/gazeta/dias/1819/05/04/pdfs/GMD-1819-53.pdf#page=8","Abrir facsímil")</f>
        <v>Abrir facsímil</v>
      </c>
      <c r="K3131" s="3" t="s">
        <v>67</v>
      </c>
    </row>
    <row r="3132" spans="1:11" ht="42" customHeight="1">
      <c r="A3132" s="2" t="s">
        <v>7748</v>
      </c>
      <c r="B3132" s="2" t="s">
        <v>7749</v>
      </c>
      <c r="C3132" s="2" t="s">
        <v>63</v>
      </c>
      <c r="D3132" s="2" t="s">
        <v>43</v>
      </c>
      <c r="E3132" s="5">
        <v>-29439</v>
      </c>
      <c r="F3132" s="3" t="s">
        <v>1101</v>
      </c>
      <c r="G3132" s="3" t="s">
        <v>55</v>
      </c>
      <c r="H3132" s="2" t="s">
        <v>65</v>
      </c>
      <c r="I3132" s="2" t="s">
        <v>7755</v>
      </c>
      <c r="J3132" s="3" t="str">
        <f>HYPERLINK("https://www.boe.es/gazeta/dias/1819/05/25/pdfs/GMD-1819-62.pdf#page=7","Abrir facsímil")</f>
        <v>Abrir facsímil</v>
      </c>
      <c r="K3132" s="3" t="s">
        <v>67</v>
      </c>
    </row>
    <row r="3133" spans="1:11" ht="42" customHeight="1">
      <c r="A3133" s="2" t="s">
        <v>7748</v>
      </c>
      <c r="B3133" s="2" t="s">
        <v>7749</v>
      </c>
      <c r="C3133" s="2" t="s">
        <v>63</v>
      </c>
      <c r="D3133" s="2" t="s">
        <v>43</v>
      </c>
      <c r="E3133" s="5">
        <v>-29425</v>
      </c>
      <c r="F3133" s="3" t="s">
        <v>110</v>
      </c>
      <c r="G3133" s="3" t="s">
        <v>28</v>
      </c>
      <c r="H3133" s="2" t="s">
        <v>65</v>
      </c>
      <c r="I3133" s="2" t="s">
        <v>7756</v>
      </c>
      <c r="J3133" s="3" t="str">
        <f>HYPERLINK("https://www.boe.es/gazeta/dias/1819/06/08/pdfs/GMD-1819-68.pdf#page=8","Abrir facsímil")</f>
        <v>Abrir facsímil</v>
      </c>
      <c r="K3133" s="3" t="s">
        <v>67</v>
      </c>
    </row>
    <row r="3134" spans="1:11" ht="42" customHeight="1">
      <c r="A3134" s="2" t="s">
        <v>7748</v>
      </c>
      <c r="B3134" s="2" t="s">
        <v>7749</v>
      </c>
      <c r="C3134" s="2" t="s">
        <v>63</v>
      </c>
      <c r="D3134" s="2" t="s">
        <v>43</v>
      </c>
      <c r="E3134" s="5">
        <v>-29411</v>
      </c>
      <c r="F3134" s="3" t="s">
        <v>317</v>
      </c>
      <c r="G3134" s="3" t="s">
        <v>695</v>
      </c>
      <c r="H3134" s="2" t="s">
        <v>65</v>
      </c>
      <c r="I3134" s="2" t="s">
        <v>7757</v>
      </c>
      <c r="J3134" s="3" t="str">
        <f>HYPERLINK("https://www.boe.es/gazeta/dias/1819/06/22/pdfs/GMD-1819-75.pdf#page=8","Abrir facsímil")</f>
        <v>Abrir facsímil</v>
      </c>
      <c r="K3134" s="3" t="s">
        <v>67</v>
      </c>
    </row>
    <row r="3135" spans="1:11" ht="42" customHeight="1">
      <c r="A3135" s="2" t="s">
        <v>7748</v>
      </c>
      <c r="B3135" s="2" t="s">
        <v>7749</v>
      </c>
      <c r="C3135" s="2" t="s">
        <v>63</v>
      </c>
      <c r="D3135" s="2" t="s">
        <v>43</v>
      </c>
      <c r="E3135" s="5">
        <v>-29409</v>
      </c>
      <c r="F3135" s="3" t="s">
        <v>106</v>
      </c>
      <c r="G3135" s="3" t="s">
        <v>28</v>
      </c>
      <c r="H3135" s="2" t="s">
        <v>65</v>
      </c>
      <c r="I3135" s="2" t="s">
        <v>7758</v>
      </c>
      <c r="J3135" s="3" t="str">
        <f>HYPERLINK("https://www.boe.es/gazeta/dias/1819/06/24/pdfs/GMD-1819-76.pdf#page=8","Abrir facsímil")</f>
        <v>Abrir facsímil</v>
      </c>
      <c r="K3135" s="3" t="s">
        <v>67</v>
      </c>
    </row>
    <row r="3136" spans="1:11" ht="42" customHeight="1">
      <c r="A3136" s="2" t="s">
        <v>7748</v>
      </c>
      <c r="B3136" s="2" t="s">
        <v>7749</v>
      </c>
      <c r="C3136" s="2" t="s">
        <v>63</v>
      </c>
      <c r="D3136" s="2" t="s">
        <v>43</v>
      </c>
      <c r="E3136" s="5">
        <v>-29404</v>
      </c>
      <c r="F3136" s="3" t="s">
        <v>1939</v>
      </c>
      <c r="G3136" s="3" t="s">
        <v>28</v>
      </c>
      <c r="H3136" s="2" t="s">
        <v>65</v>
      </c>
      <c r="I3136" s="2" t="s">
        <v>7759</v>
      </c>
      <c r="J3136" s="3" t="str">
        <f>HYPERLINK("https://www.boe.es/gazeta/dias/1819/06/29/pdfs/GMD-1819-78.pdf#page=8","Abrir facsímil")</f>
        <v>Abrir facsímil</v>
      </c>
      <c r="K3136" s="3" t="s">
        <v>67</v>
      </c>
    </row>
    <row r="3137" spans="1:11" ht="42" customHeight="1">
      <c r="A3137" s="2" t="s">
        <v>7748</v>
      </c>
      <c r="B3137" s="2" t="s">
        <v>7749</v>
      </c>
      <c r="C3137" s="2" t="s">
        <v>63</v>
      </c>
      <c r="D3137" s="2" t="s">
        <v>43</v>
      </c>
      <c r="E3137" s="5">
        <v>-29395</v>
      </c>
      <c r="F3137" s="3" t="s">
        <v>684</v>
      </c>
      <c r="G3137" s="3" t="s">
        <v>685</v>
      </c>
      <c r="H3137" s="2" t="s">
        <v>65</v>
      </c>
      <c r="I3137" s="2" t="s">
        <v>7760</v>
      </c>
      <c r="J3137" s="3" t="str">
        <f>HYPERLINK("https://www.boe.es/gazeta/dias/1819/07/08/pdfs/GMD-1819-82.pdf#page=8","Abrir facsímil")</f>
        <v>Abrir facsímil</v>
      </c>
      <c r="K3137" s="3" t="s">
        <v>67</v>
      </c>
    </row>
    <row r="3138" spans="1:11" ht="42" customHeight="1">
      <c r="A3138" s="2" t="s">
        <v>7748</v>
      </c>
      <c r="B3138" s="2" t="s">
        <v>7749</v>
      </c>
      <c r="C3138" s="2" t="s">
        <v>63</v>
      </c>
      <c r="D3138" s="2" t="s">
        <v>43</v>
      </c>
      <c r="E3138" s="5">
        <v>-29379</v>
      </c>
      <c r="F3138" s="3" t="s">
        <v>161</v>
      </c>
      <c r="G3138" s="3" t="s">
        <v>55</v>
      </c>
      <c r="H3138" s="2" t="s">
        <v>65</v>
      </c>
      <c r="I3138" s="2" t="s">
        <v>7761</v>
      </c>
      <c r="J3138" s="3" t="str">
        <f>HYPERLINK("https://www.boe.es/gazeta/dias/1819/07/24/pdfs/GMD-1819-89.pdf#page=7","Abrir facsímil")</f>
        <v>Abrir facsímil</v>
      </c>
      <c r="K3138" s="3" t="s">
        <v>67</v>
      </c>
    </row>
    <row r="3139" spans="1:11" ht="42" customHeight="1">
      <c r="A3139" s="2" t="s">
        <v>7748</v>
      </c>
      <c r="B3139" s="2" t="s">
        <v>7749</v>
      </c>
      <c r="C3139" s="2" t="s">
        <v>63</v>
      </c>
      <c r="D3139" s="2" t="s">
        <v>43</v>
      </c>
      <c r="E3139" s="5">
        <v>-29372</v>
      </c>
      <c r="F3139" s="3" t="s">
        <v>715</v>
      </c>
      <c r="G3139" s="3" t="s">
        <v>28</v>
      </c>
      <c r="H3139" s="2" t="s">
        <v>65</v>
      </c>
      <c r="I3139" s="2" t="s">
        <v>7762</v>
      </c>
      <c r="J3139" s="3" t="str">
        <f>HYPERLINK("https://www.boe.es/gazeta/dias/1819/07/31/pdfs/GMD-1819-92.pdf#page=8","Abrir facsímil")</f>
        <v>Abrir facsímil</v>
      </c>
      <c r="K3139" s="3" t="s">
        <v>67</v>
      </c>
    </row>
    <row r="3140" spans="1:11" ht="42" customHeight="1">
      <c r="A3140" s="2" t="s">
        <v>7748</v>
      </c>
      <c r="B3140" s="2" t="s">
        <v>7749</v>
      </c>
      <c r="C3140" s="2" t="s">
        <v>215</v>
      </c>
      <c r="D3140" s="2" t="s">
        <v>18</v>
      </c>
      <c r="E3140" s="5">
        <v>-29362</v>
      </c>
      <c r="F3140" s="3" t="s">
        <v>803</v>
      </c>
      <c r="G3140" s="3" t="s">
        <v>28</v>
      </c>
      <c r="H3140" s="2" t="s">
        <v>65</v>
      </c>
      <c r="I3140" s="2" t="s">
        <v>7763</v>
      </c>
      <c r="J3140" s="3" t="str">
        <f>HYPERLINK("https://www.boe.es/gazeta/dias/1819/08/10/pdfs/GMD-1819-96.pdf#page=8","Abrir facsímil")</f>
        <v>Abrir facsímil</v>
      </c>
      <c r="K3140" s="3" t="s">
        <v>67</v>
      </c>
    </row>
    <row r="3141" spans="1:11" ht="42" customHeight="1">
      <c r="A3141" s="2" t="s">
        <v>7748</v>
      </c>
      <c r="B3141" s="2" t="s">
        <v>7749</v>
      </c>
      <c r="C3141" s="2" t="s">
        <v>63</v>
      </c>
      <c r="D3141" s="2" t="s">
        <v>43</v>
      </c>
      <c r="E3141" s="5">
        <v>-29323</v>
      </c>
      <c r="F3141" s="3" t="s">
        <v>270</v>
      </c>
      <c r="G3141" s="3" t="s">
        <v>28</v>
      </c>
      <c r="H3141" s="2" t="s">
        <v>65</v>
      </c>
      <c r="I3141" s="2" t="s">
        <v>7764</v>
      </c>
      <c r="J3141" s="3" t="str">
        <f>HYPERLINK("https://www.boe.es/gazeta/dias/1819/09/18/pdfs/GMD-1819-115.pdf#page=8","Abrir facsímil")</f>
        <v>Abrir facsímil</v>
      </c>
      <c r="K3141" s="3" t="s">
        <v>67</v>
      </c>
    </row>
    <row r="3142" spans="1:11" ht="42" customHeight="1">
      <c r="A3142" s="2" t="s">
        <v>7748</v>
      </c>
      <c r="B3142" s="2" t="s">
        <v>7749</v>
      </c>
      <c r="C3142" s="2" t="s">
        <v>63</v>
      </c>
      <c r="D3142" s="2" t="s">
        <v>43</v>
      </c>
      <c r="E3142" s="5">
        <v>-29306</v>
      </c>
      <c r="F3142" s="3" t="s">
        <v>303</v>
      </c>
      <c r="G3142" s="3" t="s">
        <v>55</v>
      </c>
      <c r="H3142" s="2" t="s">
        <v>65</v>
      </c>
      <c r="I3142" s="2" t="s">
        <v>7765</v>
      </c>
      <c r="J3142" s="3" t="str">
        <f>HYPERLINK("https://www.boe.es/gazeta/dias/1819/10/05/pdfs/GMD-1819-122.pdf#page=7","Abrir facsímil")</f>
        <v>Abrir facsímil</v>
      </c>
      <c r="K3142" s="3" t="s">
        <v>67</v>
      </c>
    </row>
    <row r="3143" spans="1:11" ht="42" customHeight="1">
      <c r="A3143" s="2" t="s">
        <v>7748</v>
      </c>
      <c r="B3143" s="2" t="s">
        <v>7749</v>
      </c>
      <c r="C3143" s="2" t="s">
        <v>63</v>
      </c>
      <c r="D3143" s="2" t="s">
        <v>43</v>
      </c>
      <c r="E3143" s="5">
        <v>-29290</v>
      </c>
      <c r="F3143" s="3" t="s">
        <v>622</v>
      </c>
      <c r="G3143" s="3" t="s">
        <v>28</v>
      </c>
      <c r="H3143" s="2" t="s">
        <v>65</v>
      </c>
      <c r="I3143" s="2" t="s">
        <v>7766</v>
      </c>
      <c r="J3143" s="3" t="str">
        <f>HYPERLINK("https://www.boe.es/gazeta/dias/1819/10/21/pdfs/GMD-1819-129.pdf#page=8","Abrir facsímil")</f>
        <v>Abrir facsímil</v>
      </c>
      <c r="K3143" s="3" t="s">
        <v>67</v>
      </c>
    </row>
    <row r="3144" spans="1:11" ht="42" customHeight="1">
      <c r="A3144" s="2" t="s">
        <v>7748</v>
      </c>
      <c r="B3144" s="2" t="s">
        <v>7749</v>
      </c>
      <c r="C3144" s="2" t="s">
        <v>63</v>
      </c>
      <c r="D3144" s="2" t="s">
        <v>43</v>
      </c>
      <c r="E3144" s="5">
        <v>-29288</v>
      </c>
      <c r="F3144" s="3" t="s">
        <v>334</v>
      </c>
      <c r="G3144" s="3" t="s">
        <v>28</v>
      </c>
      <c r="H3144" s="2" t="s">
        <v>65</v>
      </c>
      <c r="I3144" s="2" t="s">
        <v>7767</v>
      </c>
      <c r="J3144" s="3" t="str">
        <f>HYPERLINK("https://www.boe.es/gazeta/dias/1819/10/23/pdfs/GMD-1819-130.pdf#page=8","Abrir facsímil")</f>
        <v>Abrir facsímil</v>
      </c>
      <c r="K3144" s="3" t="s">
        <v>67</v>
      </c>
    </row>
    <row r="3145" spans="1:11" ht="42" customHeight="1">
      <c r="A3145" s="2" t="s">
        <v>7748</v>
      </c>
      <c r="B3145" s="2" t="s">
        <v>7749</v>
      </c>
      <c r="C3145" s="2" t="s">
        <v>63</v>
      </c>
      <c r="D3145" s="2" t="s">
        <v>43</v>
      </c>
      <c r="E3145" s="5">
        <v>-29253</v>
      </c>
      <c r="F3145" s="3" t="s">
        <v>242</v>
      </c>
      <c r="G3145" s="3" t="s">
        <v>2986</v>
      </c>
      <c r="H3145" s="2" t="s">
        <v>65</v>
      </c>
      <c r="I3145" s="2" t="s">
        <v>7768</v>
      </c>
      <c r="J3145" s="3" t="str">
        <f>HYPERLINK("https://www.boe.es/gazeta/dias/1819/11/27/pdfs/GMD-1819-146.pdf#page=8","Abrir facsímil")</f>
        <v>Abrir facsímil</v>
      </c>
      <c r="K3145" s="3" t="s">
        <v>67</v>
      </c>
    </row>
    <row r="3146" spans="1:11" ht="42" customHeight="1">
      <c r="A3146" s="2" t="s">
        <v>7769</v>
      </c>
      <c r="B3146" s="2" t="s">
        <v>7769</v>
      </c>
      <c r="C3146" s="2" t="s">
        <v>80</v>
      </c>
      <c r="D3146" s="2" t="s">
        <v>81</v>
      </c>
      <c r="E3146" s="5">
        <v>-29470</v>
      </c>
      <c r="F3146" s="3" t="s">
        <v>1188</v>
      </c>
      <c r="G3146" s="3" t="s">
        <v>38</v>
      </c>
      <c r="H3146" s="2" t="s">
        <v>65</v>
      </c>
      <c r="I3146" s="2" t="s">
        <v>7770</v>
      </c>
      <c r="J3146" s="3" t="str">
        <f>HYPERLINK("https://www.boe.es/gazeta/dias/1819/04/24/pdfs/GMD-1819-49.pdf#page=5","Abrir facsímil")</f>
        <v>Abrir facsímil</v>
      </c>
      <c r="K3146" s="3" t="s">
        <v>67</v>
      </c>
    </row>
    <row r="3147" spans="1:11" ht="42" customHeight="1">
      <c r="A3147" s="2" t="s">
        <v>7771</v>
      </c>
      <c r="B3147" s="2" t="s">
        <v>7772</v>
      </c>
      <c r="C3147" s="2" t="s">
        <v>80</v>
      </c>
      <c r="D3147" s="2" t="s">
        <v>81</v>
      </c>
      <c r="E3147" s="5">
        <v>-29495</v>
      </c>
      <c r="F3147" s="3" t="s">
        <v>992</v>
      </c>
      <c r="G3147" s="3" t="s">
        <v>38</v>
      </c>
      <c r="H3147" s="2" t="s">
        <v>65</v>
      </c>
      <c r="I3147" s="2" t="s">
        <v>7773</v>
      </c>
      <c r="J3147" s="3" t="str">
        <f>HYPERLINK("https://www.boe.es/gazeta/dias/1819/03/30/pdfs/GMD-1819-38.pdf#page=5","Abrir facsímil")</f>
        <v>Abrir facsímil</v>
      </c>
      <c r="K3147" s="3" t="s">
        <v>67</v>
      </c>
    </row>
    <row r="3148" spans="1:11" ht="42" customHeight="1">
      <c r="A3148" s="2" t="s">
        <v>7774</v>
      </c>
      <c r="B3148" s="2" t="s">
        <v>7775</v>
      </c>
      <c r="C3148" s="2" t="s">
        <v>17</v>
      </c>
      <c r="D3148" s="2" t="s">
        <v>18</v>
      </c>
      <c r="E3148" s="5">
        <v>-29351</v>
      </c>
      <c r="F3148" s="3" t="s">
        <v>101</v>
      </c>
      <c r="G3148" s="3" t="s">
        <v>3292</v>
      </c>
      <c r="H3148" s="2" t="s">
        <v>65</v>
      </c>
      <c r="I3148" s="2" t="s">
        <v>7776</v>
      </c>
      <c r="J3148" s="3" t="str">
        <f>HYPERLINK("https://www.boe.es/gazeta/dias/1819/08/21/pdfs/GMD-1819-101.pdf#page=4","Abrir facsímil")</f>
        <v>Abrir facsímil</v>
      </c>
      <c r="K3148" s="3" t="s">
        <v>67</v>
      </c>
    </row>
    <row r="3149" spans="1:11" ht="42" customHeight="1">
      <c r="A3149" s="2" t="s">
        <v>7777</v>
      </c>
      <c r="B3149" s="2" t="s">
        <v>7777</v>
      </c>
      <c r="C3149" s="2" t="s">
        <v>63</v>
      </c>
      <c r="D3149" s="2" t="s">
        <v>43</v>
      </c>
      <c r="E3149" s="5">
        <v>-29439</v>
      </c>
      <c r="F3149" s="3" t="s">
        <v>1101</v>
      </c>
      <c r="G3149" s="3" t="s">
        <v>38</v>
      </c>
      <c r="H3149" s="2" t="s">
        <v>65</v>
      </c>
      <c r="I3149" s="2" t="s">
        <v>7778</v>
      </c>
      <c r="J3149" s="3" t="str">
        <f>HYPERLINK("https://www.boe.es/gazeta/dias/1819/05/25/pdfs/GMD-1819-62.pdf#page=5","Abrir facsímil")</f>
        <v>Abrir facsímil</v>
      </c>
      <c r="K3149" s="3" t="s">
        <v>67</v>
      </c>
    </row>
    <row r="3150" spans="1:11" ht="42" customHeight="1">
      <c r="A3150" s="2" t="s">
        <v>7779</v>
      </c>
      <c r="B3150" s="2" t="s">
        <v>7780</v>
      </c>
      <c r="C3150" s="2" t="s">
        <v>80</v>
      </c>
      <c r="D3150" s="2" t="s">
        <v>81</v>
      </c>
      <c r="E3150" s="5">
        <v>-29353</v>
      </c>
      <c r="F3150" s="3" t="s">
        <v>867</v>
      </c>
      <c r="G3150" s="3" t="s">
        <v>55</v>
      </c>
      <c r="H3150" s="2" t="s">
        <v>65</v>
      </c>
      <c r="I3150" s="2" t="s">
        <v>7781</v>
      </c>
      <c r="J3150" s="3" t="str">
        <f>HYPERLINK("https://www.boe.es/gazeta/dias/1819/08/19/pdfs/GMD-1819-100.pdf#page=7","Abrir facsímil")</f>
        <v>Abrir facsímil</v>
      </c>
      <c r="K3150" s="3" t="s">
        <v>67</v>
      </c>
    </row>
    <row r="3151" spans="1:11" ht="42" customHeight="1">
      <c r="A3151" s="2" t="s">
        <v>7782</v>
      </c>
      <c r="B3151" s="2" t="s">
        <v>7783</v>
      </c>
      <c r="C3151" s="2" t="s">
        <v>215</v>
      </c>
      <c r="D3151" s="2" t="s">
        <v>18</v>
      </c>
      <c r="E3151" s="5">
        <v>-29519</v>
      </c>
      <c r="F3151" s="3" t="s">
        <v>142</v>
      </c>
      <c r="G3151" s="3" t="s">
        <v>33</v>
      </c>
      <c r="H3151" s="2" t="s">
        <v>65</v>
      </c>
      <c r="I3151" s="2" t="s">
        <v>7784</v>
      </c>
      <c r="J3151" s="3" t="str">
        <f>HYPERLINK("https://www.boe.es/gazeta/dias/1819/03/06/pdfs/GMD-1819-28.pdf#page=6","Abrir facsímil")</f>
        <v>Abrir facsímil</v>
      </c>
      <c r="K3151" s="3" t="s">
        <v>67</v>
      </c>
    </row>
    <row r="3152" spans="1:11" ht="42" customHeight="1">
      <c r="A3152" s="2" t="s">
        <v>7785</v>
      </c>
      <c r="B3152" s="2" t="s">
        <v>7786</v>
      </c>
      <c r="C3152" s="2" t="s">
        <v>63</v>
      </c>
      <c r="D3152" s="2" t="s">
        <v>43</v>
      </c>
      <c r="E3152" s="5">
        <v>-29281</v>
      </c>
      <c r="F3152" s="3" t="s">
        <v>19</v>
      </c>
      <c r="G3152" s="3" t="s">
        <v>28</v>
      </c>
      <c r="H3152" s="2" t="s">
        <v>65</v>
      </c>
      <c r="I3152" s="2" t="s">
        <v>7787</v>
      </c>
      <c r="J3152" s="3" t="str">
        <f>HYPERLINK("https://www.boe.es/gazeta/dias/1819/10/30/pdfs/GMD-1819-134.pdf#page=8","Abrir facsímil")</f>
        <v>Abrir facsímil</v>
      </c>
      <c r="K3152" s="3" t="s">
        <v>67</v>
      </c>
    </row>
    <row r="3153" spans="1:11" ht="42" customHeight="1">
      <c r="A3153" s="2" t="s">
        <v>7788</v>
      </c>
      <c r="B3153" s="2" t="s">
        <v>7789</v>
      </c>
      <c r="C3153" s="2" t="s">
        <v>63</v>
      </c>
      <c r="D3153" s="2" t="s">
        <v>43</v>
      </c>
      <c r="E3153" s="5">
        <v>-29281</v>
      </c>
      <c r="F3153" s="3" t="s">
        <v>19</v>
      </c>
      <c r="G3153" s="3" t="s">
        <v>456</v>
      </c>
      <c r="H3153" s="2" t="s">
        <v>65</v>
      </c>
      <c r="I3153" s="2" t="s">
        <v>7790</v>
      </c>
      <c r="J3153" s="3" t="str">
        <f>HYPERLINK("https://www.boe.es/gazeta/dias/1819/10/30/pdfs/GMD-1819-134.pdf#page=9","Abrir facsímil")</f>
        <v>Abrir facsímil</v>
      </c>
      <c r="K3153" s="3" t="s">
        <v>67</v>
      </c>
    </row>
    <row r="3154" spans="1:11" ht="42" customHeight="1">
      <c r="A3154" s="2" t="s">
        <v>7791</v>
      </c>
      <c r="B3154" s="2" t="s">
        <v>7791</v>
      </c>
      <c r="C3154" s="2" t="s">
        <v>80</v>
      </c>
      <c r="D3154" s="2" t="s">
        <v>81</v>
      </c>
      <c r="E3154" s="5">
        <v>-29404</v>
      </c>
      <c r="F3154" s="3" t="s">
        <v>1939</v>
      </c>
      <c r="G3154" s="3" t="s">
        <v>55</v>
      </c>
      <c r="H3154" s="2" t="s">
        <v>65</v>
      </c>
      <c r="I3154" s="2" t="s">
        <v>7792</v>
      </c>
      <c r="J3154" s="3" t="str">
        <f>HYPERLINK("https://www.boe.es/gazeta/dias/1819/06/29/pdfs/GMD-1819-78.pdf#page=7","Abrir facsímil")</f>
        <v>Abrir facsímil</v>
      </c>
      <c r="K3154" s="3" t="s">
        <v>67</v>
      </c>
    </row>
    <row r="3155" spans="1:11" ht="42" customHeight="1">
      <c r="A3155" s="2" t="s">
        <v>7793</v>
      </c>
      <c r="B3155" s="2" t="s">
        <v>7793</v>
      </c>
      <c r="C3155" s="2" t="s">
        <v>136</v>
      </c>
      <c r="D3155" s="2" t="s">
        <v>18</v>
      </c>
      <c r="E3155" s="5">
        <v>-29379</v>
      </c>
      <c r="F3155" s="3" t="s">
        <v>161</v>
      </c>
      <c r="G3155" s="3" t="s">
        <v>162</v>
      </c>
      <c r="H3155" s="2" t="s">
        <v>65</v>
      </c>
      <c r="I3155" s="2" t="s">
        <v>7794</v>
      </c>
      <c r="J3155" s="3" t="str">
        <f>HYPERLINK("https://www.boe.es/gazeta/dias/1819/07/24/pdfs/GMD-1819-89.pdf#page=5","Abrir facsímil")</f>
        <v>Abrir facsímil</v>
      </c>
      <c r="K3155" s="3" t="s">
        <v>67</v>
      </c>
    </row>
    <row r="3156" spans="1:11" ht="42" customHeight="1">
      <c r="A3156" s="2" t="s">
        <v>7793</v>
      </c>
      <c r="B3156" s="2" t="s">
        <v>7793</v>
      </c>
      <c r="C3156" s="2" t="s">
        <v>80</v>
      </c>
      <c r="D3156" s="2" t="s">
        <v>81</v>
      </c>
      <c r="E3156" s="5">
        <v>-29274</v>
      </c>
      <c r="F3156" s="3" t="s">
        <v>247</v>
      </c>
      <c r="G3156" s="3" t="s">
        <v>55</v>
      </c>
      <c r="H3156" s="2" t="s">
        <v>65</v>
      </c>
      <c r="I3156" s="2" t="s">
        <v>7795</v>
      </c>
      <c r="J3156" s="3" t="str">
        <f>HYPERLINK("https://www.boe.es/gazeta/dias/1819/11/06/pdfs/GMD-1819-137.pdf#page=7","Abrir facsímil")</f>
        <v>Abrir facsímil</v>
      </c>
      <c r="K3156" s="3" t="s">
        <v>67</v>
      </c>
    </row>
    <row r="3157" spans="1:11" ht="42" customHeight="1">
      <c r="A3157" s="2" t="s">
        <v>7796</v>
      </c>
      <c r="B3157" s="2" t="s">
        <v>7797</v>
      </c>
      <c r="C3157" s="2" t="s">
        <v>80</v>
      </c>
      <c r="D3157" s="2" t="s">
        <v>454</v>
      </c>
      <c r="E3157" s="5">
        <v>-29324</v>
      </c>
      <c r="F3157" s="3" t="s">
        <v>914</v>
      </c>
      <c r="G3157" s="3" t="s">
        <v>102</v>
      </c>
      <c r="H3157" s="2" t="s">
        <v>65</v>
      </c>
      <c r="I3157" s="2" t="s">
        <v>7798</v>
      </c>
      <c r="J3157" s="3" t="str">
        <f>HYPERLINK("https://www.boe.es/gazeta/dias/1819/09/17/pdfs/GMD-1819-114E.pdf#page=3","Abrir facsímil")</f>
        <v>Abrir facsímil</v>
      </c>
      <c r="K3157" s="3" t="s">
        <v>67</v>
      </c>
    </row>
    <row r="3158" spans="1:11" ht="42" customHeight="1">
      <c r="A3158" s="2" t="s">
        <v>7799</v>
      </c>
      <c r="B3158" s="2" t="s">
        <v>7800</v>
      </c>
      <c r="C3158" s="2" t="s">
        <v>80</v>
      </c>
      <c r="D3158" s="2" t="s">
        <v>81</v>
      </c>
      <c r="E3158" s="5">
        <v>-29528</v>
      </c>
      <c r="F3158" s="3" t="s">
        <v>708</v>
      </c>
      <c r="G3158" s="3" t="s">
        <v>28</v>
      </c>
      <c r="H3158" s="2" t="s">
        <v>65</v>
      </c>
      <c r="I3158" s="2" t="s">
        <v>7801</v>
      </c>
      <c r="J3158" s="3" t="str">
        <f>HYPERLINK("https://www.boe.es/gazeta/dias/1819/02/25/pdfs/GMD-1819-24.pdf#page=8","Abrir facsímil")</f>
        <v>Abrir facsímil</v>
      </c>
      <c r="K3158" s="3" t="s">
        <v>67</v>
      </c>
    </row>
    <row r="3159" spans="1:11" ht="42" customHeight="1">
      <c r="A3159" s="2" t="s">
        <v>7802</v>
      </c>
      <c r="B3159" s="2" t="s">
        <v>7803</v>
      </c>
      <c r="C3159" s="2" t="s">
        <v>26</v>
      </c>
      <c r="D3159" s="2" t="s">
        <v>18</v>
      </c>
      <c r="E3159" s="5">
        <v>-29521</v>
      </c>
      <c r="F3159" s="3" t="s">
        <v>1002</v>
      </c>
      <c r="G3159" s="3" t="s">
        <v>55</v>
      </c>
      <c r="H3159" s="2" t="s">
        <v>21</v>
      </c>
      <c r="I3159" s="2" t="s">
        <v>7804</v>
      </c>
      <c r="J3159" s="3" t="str">
        <f>HYPERLINK("https://www.boe.es/gazeta/dias/1819/03/04/pdfs/GMD-1819-27.pdf#page=7","Abrir facsímil")</f>
        <v>Abrir facsímil</v>
      </c>
      <c r="K3159" s="3" t="s">
        <v>23</v>
      </c>
    </row>
    <row r="3160" spans="1:11" ht="42" customHeight="1">
      <c r="A3160" s="2" t="s">
        <v>7805</v>
      </c>
      <c r="B3160" s="2" t="s">
        <v>7806</v>
      </c>
      <c r="C3160" s="2" t="s">
        <v>80</v>
      </c>
      <c r="D3160" s="2" t="s">
        <v>81</v>
      </c>
      <c r="E3160" s="5">
        <v>-29470</v>
      </c>
      <c r="F3160" s="3" t="s">
        <v>1188</v>
      </c>
      <c r="G3160" s="3" t="s">
        <v>38</v>
      </c>
      <c r="H3160" s="2" t="s">
        <v>65</v>
      </c>
      <c r="I3160" s="2" t="s">
        <v>7807</v>
      </c>
      <c r="J3160" s="3" t="str">
        <f>HYPERLINK("https://www.boe.es/gazeta/dias/1819/04/24/pdfs/GMD-1819-49.pdf#page=5","Abrir facsímil")</f>
        <v>Abrir facsímil</v>
      </c>
      <c r="K3160" s="3" t="s">
        <v>67</v>
      </c>
    </row>
    <row r="3161" spans="1:11" ht="42" customHeight="1">
      <c r="A3161" s="2" t="s">
        <v>7808</v>
      </c>
      <c r="B3161" s="2" t="s">
        <v>7809</v>
      </c>
      <c r="C3161" s="2" t="s">
        <v>80</v>
      </c>
      <c r="D3161" s="2" t="s">
        <v>81</v>
      </c>
      <c r="E3161" s="5">
        <v>-29446</v>
      </c>
      <c r="F3161" s="3" t="s">
        <v>773</v>
      </c>
      <c r="G3161" s="3" t="s">
        <v>774</v>
      </c>
      <c r="H3161" s="2" t="s">
        <v>65</v>
      </c>
      <c r="I3161" s="2" t="s">
        <v>7810</v>
      </c>
      <c r="J3161" s="3" t="str">
        <f>HYPERLINK("https://www.boe.es/gazeta/dias/1819/05/18/pdfs/GMD-1819-59.pdf#page=6","Abrir facsímil")</f>
        <v>Abrir facsímil</v>
      </c>
      <c r="K3161" s="3" t="s">
        <v>67</v>
      </c>
    </row>
    <row r="3162" spans="1:11" ht="42" customHeight="1">
      <c r="A3162" s="2" t="s">
        <v>7811</v>
      </c>
      <c r="B3162" s="2" t="s">
        <v>7811</v>
      </c>
      <c r="C3162" s="2" t="s">
        <v>80</v>
      </c>
      <c r="D3162" s="2" t="s">
        <v>81</v>
      </c>
      <c r="E3162" s="5">
        <v>-29502</v>
      </c>
      <c r="F3162" s="3" t="s">
        <v>86</v>
      </c>
      <c r="G3162" s="3" t="s">
        <v>2658</v>
      </c>
      <c r="H3162" s="2" t="s">
        <v>65</v>
      </c>
      <c r="I3162" s="2" t="s">
        <v>7812</v>
      </c>
      <c r="J3162" s="3" t="str">
        <f>HYPERLINK("https://www.boe.es/gazeta/dias/1819/03/23/pdfs/GMD-1819-35.pdf#page=4","Abrir facsímil")</f>
        <v>Abrir facsímil</v>
      </c>
      <c r="K3162" s="3" t="s">
        <v>67</v>
      </c>
    </row>
    <row r="3163" spans="1:11" ht="42" customHeight="1">
      <c r="A3163" s="2" t="s">
        <v>7813</v>
      </c>
      <c r="B3163" s="2" t="s">
        <v>7814</v>
      </c>
      <c r="C3163" s="2" t="s">
        <v>80</v>
      </c>
      <c r="D3163" s="2" t="s">
        <v>81</v>
      </c>
      <c r="E3163" s="5">
        <v>-29358</v>
      </c>
      <c r="F3163" s="3" t="s">
        <v>170</v>
      </c>
      <c r="G3163" s="3" t="s">
        <v>38</v>
      </c>
      <c r="H3163" s="2" t="s">
        <v>65</v>
      </c>
      <c r="I3163" s="2" t="s">
        <v>7815</v>
      </c>
      <c r="J3163" s="3" t="str">
        <f>HYPERLINK("https://www.boe.es/gazeta/dias/1819/08/14/pdfs/GMD-1819-98.pdf#page=5","Abrir facsímil")</f>
        <v>Abrir facsímil</v>
      </c>
      <c r="K3163" s="3" t="s">
        <v>67</v>
      </c>
    </row>
    <row r="3164" spans="1:11" ht="42" customHeight="1">
      <c r="A3164" s="2" t="s">
        <v>7816</v>
      </c>
      <c r="B3164" s="2" t="s">
        <v>7817</v>
      </c>
      <c r="C3164" s="2" t="s">
        <v>80</v>
      </c>
      <c r="D3164" s="2" t="s">
        <v>81</v>
      </c>
      <c r="E3164" s="5">
        <v>-29495</v>
      </c>
      <c r="F3164" s="3" t="s">
        <v>992</v>
      </c>
      <c r="G3164" s="3" t="s">
        <v>55</v>
      </c>
      <c r="H3164" s="2" t="s">
        <v>65</v>
      </c>
      <c r="I3164" s="2" t="s">
        <v>7818</v>
      </c>
      <c r="J3164" s="3" t="str">
        <f>HYPERLINK("https://www.boe.es/gazeta/dias/1819/03/30/pdfs/GMD-1819-38.pdf#page=7","Abrir facsímil")</f>
        <v>Abrir facsímil</v>
      </c>
      <c r="K3164" s="3" t="s">
        <v>67</v>
      </c>
    </row>
    <row r="3165" spans="1:11" ht="42" customHeight="1">
      <c r="A3165" s="2" t="s">
        <v>7819</v>
      </c>
      <c r="B3165" s="2" t="s">
        <v>7819</v>
      </c>
      <c r="C3165" s="2" t="s">
        <v>59</v>
      </c>
      <c r="D3165" s="2" t="s">
        <v>18</v>
      </c>
      <c r="E3165" s="5">
        <v>-29299</v>
      </c>
      <c r="F3165" s="3" t="s">
        <v>798</v>
      </c>
      <c r="G3165" s="3" t="s">
        <v>239</v>
      </c>
      <c r="H3165" s="2" t="s">
        <v>65</v>
      </c>
      <c r="I3165" s="2" t="s">
        <v>7820</v>
      </c>
      <c r="J3165" s="3" t="str">
        <f>HYPERLINK("https://www.boe.es/gazeta/dias/1819/10/12/pdfs/GMD-1819-125.pdf#page=1","Abrir facsímil")</f>
        <v>Abrir facsímil</v>
      </c>
      <c r="K3165" s="3" t="s">
        <v>67</v>
      </c>
    </row>
    <row r="3166" spans="1:11" ht="42" customHeight="1">
      <c r="A3166" s="2" t="s">
        <v>7821</v>
      </c>
      <c r="B3166" s="2" t="s">
        <v>7822</v>
      </c>
      <c r="C3166" s="2" t="s">
        <v>80</v>
      </c>
      <c r="D3166" s="2" t="s">
        <v>81</v>
      </c>
      <c r="E3166" s="5">
        <v>-29432</v>
      </c>
      <c r="F3166" s="3" t="s">
        <v>1967</v>
      </c>
      <c r="G3166" s="3" t="s">
        <v>239</v>
      </c>
      <c r="H3166" s="2" t="s">
        <v>65</v>
      </c>
      <c r="I3166" s="2" t="s">
        <v>7823</v>
      </c>
      <c r="J3166" s="3" t="str">
        <f>HYPERLINK("https://www.boe.es/gazeta/dias/1819/06/01/pdfs/GMD-1819-65.pdf#page=1","Abrir facsímil")</f>
        <v>Abrir facsímil</v>
      </c>
      <c r="K3166" s="3" t="s">
        <v>67</v>
      </c>
    </row>
    <row r="3167" spans="1:11" ht="42" customHeight="1">
      <c r="A3167" s="2" t="s">
        <v>7824</v>
      </c>
      <c r="B3167" s="2" t="s">
        <v>7825</v>
      </c>
      <c r="C3167" s="2" t="s">
        <v>59</v>
      </c>
      <c r="D3167" s="2" t="s">
        <v>18</v>
      </c>
      <c r="E3167" s="5">
        <v>-29558</v>
      </c>
      <c r="F3167" s="3" t="s">
        <v>1463</v>
      </c>
      <c r="G3167" s="3" t="s">
        <v>38</v>
      </c>
      <c r="H3167" s="2" t="s">
        <v>65</v>
      </c>
      <c r="I3167" s="2" t="s">
        <v>7826</v>
      </c>
      <c r="J3167" s="3" t="str">
        <f>HYPERLINK("https://www.boe.es/gazeta/dias/1819/01/26/pdfs/GMD-1819-11.pdf#page=5","Abrir facsímil")</f>
        <v>Abrir facsímil</v>
      </c>
      <c r="K3167" s="3" t="s">
        <v>67</v>
      </c>
    </row>
    <row r="3168" spans="1:11" ht="42" customHeight="1">
      <c r="A3168" s="2" t="s">
        <v>7827</v>
      </c>
      <c r="B3168" s="2" t="s">
        <v>7828</v>
      </c>
      <c r="C3168" s="2" t="s">
        <v>80</v>
      </c>
      <c r="D3168" s="2" t="s">
        <v>81</v>
      </c>
      <c r="E3168" s="5">
        <v>-29425</v>
      </c>
      <c r="F3168" s="3" t="s">
        <v>110</v>
      </c>
      <c r="G3168" s="3" t="s">
        <v>55</v>
      </c>
      <c r="H3168" s="2" t="s">
        <v>65</v>
      </c>
      <c r="I3168" s="2" t="s">
        <v>7829</v>
      </c>
      <c r="J3168" s="3" t="str">
        <f>HYPERLINK("https://www.boe.es/gazeta/dias/1819/06/08/pdfs/GMD-1819-68.pdf#page=7","Abrir facsímil")</f>
        <v>Abrir facsímil</v>
      </c>
      <c r="K3168" s="3" t="s">
        <v>67</v>
      </c>
    </row>
    <row r="3169" spans="1:11" ht="42" customHeight="1">
      <c r="A3169" s="2" t="s">
        <v>7830</v>
      </c>
      <c r="B3169" s="2" t="s">
        <v>7831</v>
      </c>
      <c r="C3169" s="2" t="s">
        <v>80</v>
      </c>
      <c r="D3169" s="2" t="s">
        <v>454</v>
      </c>
      <c r="E3169" s="5">
        <v>-29287</v>
      </c>
      <c r="F3169" s="3" t="s">
        <v>455</v>
      </c>
      <c r="G3169" s="3" t="s">
        <v>481</v>
      </c>
      <c r="H3169" s="2" t="s">
        <v>65</v>
      </c>
      <c r="I3169" s="2" t="s">
        <v>7832</v>
      </c>
      <c r="J3169" s="3" t="str">
        <f>HYPERLINK("https://www.boe.es/gazeta/dias/1819/10/24/pdfs/GMD-1819-131E.pdf#page=8","Abrir facsímil")</f>
        <v>Abrir facsímil</v>
      </c>
      <c r="K3169" s="3" t="s">
        <v>67</v>
      </c>
    </row>
    <row r="3170" spans="1:11" ht="42" customHeight="1">
      <c r="A3170" s="2" t="s">
        <v>7833</v>
      </c>
      <c r="B3170" s="2" t="s">
        <v>7834</v>
      </c>
      <c r="C3170" s="2" t="s">
        <v>63</v>
      </c>
      <c r="D3170" s="2" t="s">
        <v>43</v>
      </c>
      <c r="E3170" s="5">
        <v>-29248</v>
      </c>
      <c r="F3170" s="3" t="s">
        <v>395</v>
      </c>
      <c r="G3170" s="3" t="s">
        <v>296</v>
      </c>
      <c r="H3170" s="2" t="s">
        <v>65</v>
      </c>
      <c r="I3170" s="2" t="s">
        <v>7835</v>
      </c>
      <c r="J3170" s="3" t="str">
        <f>HYPERLINK("https://www.boe.es/gazeta/dias/1819/12/02/pdfs/GMD-1819-148.pdf#page=4","Abrir facsímil")</f>
        <v>Abrir facsímil</v>
      </c>
      <c r="K3170" s="3" t="s">
        <v>67</v>
      </c>
    </row>
    <row r="3171" spans="1:11" ht="42" customHeight="1">
      <c r="A3171" s="2" t="s">
        <v>7836</v>
      </c>
      <c r="B3171" s="2" t="s">
        <v>7836</v>
      </c>
      <c r="C3171" s="2" t="s">
        <v>80</v>
      </c>
      <c r="D3171" s="2" t="s">
        <v>81</v>
      </c>
      <c r="E3171" s="5">
        <v>-29341</v>
      </c>
      <c r="F3171" s="3" t="s">
        <v>806</v>
      </c>
      <c r="G3171" s="3" t="s">
        <v>3754</v>
      </c>
      <c r="H3171" s="2" t="s">
        <v>65</v>
      </c>
      <c r="I3171" s="2" t="s">
        <v>7837</v>
      </c>
      <c r="J3171" s="3" t="str">
        <f>HYPERLINK("https://www.boe.es/gazeta/dias/1819/08/31/pdfs/GMD-1819-105.pdf#page=7","Abrir facsímil")</f>
        <v>Abrir facsímil</v>
      </c>
      <c r="K3171" s="3" t="s">
        <v>67</v>
      </c>
    </row>
    <row r="3172" spans="1:11" ht="42" customHeight="1">
      <c r="A3172" s="2" t="s">
        <v>7838</v>
      </c>
      <c r="B3172" s="2" t="s">
        <v>7839</v>
      </c>
      <c r="C3172" s="2" t="s">
        <v>80</v>
      </c>
      <c r="D3172" s="2" t="s">
        <v>81</v>
      </c>
      <c r="E3172" s="5">
        <v>-29495</v>
      </c>
      <c r="F3172" s="3" t="s">
        <v>992</v>
      </c>
      <c r="G3172" s="3" t="s">
        <v>38</v>
      </c>
      <c r="H3172" s="2" t="s">
        <v>65</v>
      </c>
      <c r="I3172" s="2" t="s">
        <v>7840</v>
      </c>
      <c r="J3172" s="3" t="str">
        <f>HYPERLINK("https://www.boe.es/gazeta/dias/1819/03/30/pdfs/GMD-1819-38.pdf#page=5","Abrir facsímil")</f>
        <v>Abrir facsímil</v>
      </c>
      <c r="K3172" s="3" t="s">
        <v>67</v>
      </c>
    </row>
    <row r="3173" spans="1:11" ht="42" customHeight="1">
      <c r="A3173" s="2" t="s">
        <v>7841</v>
      </c>
      <c r="B3173" s="2" t="s">
        <v>7841</v>
      </c>
      <c r="C3173" s="2" t="s">
        <v>63</v>
      </c>
      <c r="D3173" s="2" t="s">
        <v>43</v>
      </c>
      <c r="E3173" s="5">
        <v>-29561</v>
      </c>
      <c r="F3173" s="3" t="s">
        <v>290</v>
      </c>
      <c r="G3173" s="3" t="s">
        <v>28</v>
      </c>
      <c r="H3173" s="2" t="s">
        <v>65</v>
      </c>
      <c r="I3173" s="2" t="s">
        <v>7842</v>
      </c>
      <c r="J3173" s="3" t="str">
        <f>HYPERLINK("https://www.boe.es/gazeta/dias/1819/01/23/pdfs/GMD-1819-10.pdf#page=8","Abrir facsímil")</f>
        <v>Abrir facsímil</v>
      </c>
      <c r="K3173" s="3" t="s">
        <v>67</v>
      </c>
    </row>
    <row r="3174" spans="1:11" ht="42" customHeight="1">
      <c r="A3174" s="2" t="s">
        <v>7841</v>
      </c>
      <c r="B3174" s="2" t="s">
        <v>7841</v>
      </c>
      <c r="C3174" s="2" t="s">
        <v>63</v>
      </c>
      <c r="D3174" s="2" t="s">
        <v>43</v>
      </c>
      <c r="E3174" s="5">
        <v>-29542</v>
      </c>
      <c r="F3174" s="3" t="s">
        <v>607</v>
      </c>
      <c r="G3174" s="3" t="s">
        <v>20</v>
      </c>
      <c r="H3174" s="2" t="s">
        <v>65</v>
      </c>
      <c r="I3174" s="2" t="s">
        <v>7843</v>
      </c>
      <c r="J3174" s="3" t="str">
        <f>HYPERLINK("https://www.boe.es/gazeta/dias/1819/02/11/pdfs/GMD-1819-18.pdf#page=10","Abrir facsímil")</f>
        <v>Abrir facsímil</v>
      </c>
      <c r="K3174" s="3" t="s">
        <v>67</v>
      </c>
    </row>
    <row r="3175" spans="1:11" ht="42" customHeight="1">
      <c r="A3175" s="2" t="s">
        <v>7841</v>
      </c>
      <c r="B3175" s="2" t="s">
        <v>7841</v>
      </c>
      <c r="C3175" s="2" t="s">
        <v>59</v>
      </c>
      <c r="D3175" s="2" t="s">
        <v>18</v>
      </c>
      <c r="E3175" s="5">
        <v>-29537</v>
      </c>
      <c r="F3175" s="3" t="s">
        <v>593</v>
      </c>
      <c r="G3175" s="3" t="s">
        <v>94</v>
      </c>
      <c r="H3175" s="2" t="s">
        <v>65</v>
      </c>
      <c r="I3175" s="2" t="s">
        <v>7844</v>
      </c>
      <c r="J3175" s="3" t="str">
        <f>HYPERLINK("https://www.boe.es/gazeta/dias/1819/02/16/pdfs/GMD-1819-20.pdf#page=11","Abrir facsímil")</f>
        <v>Abrir facsímil</v>
      </c>
      <c r="K3175" s="3" t="s">
        <v>67</v>
      </c>
    </row>
    <row r="3176" spans="1:11" ht="42" customHeight="1">
      <c r="A3176" s="2" t="s">
        <v>7841</v>
      </c>
      <c r="B3176" s="2" t="s">
        <v>7841</v>
      </c>
      <c r="C3176" s="2" t="s">
        <v>63</v>
      </c>
      <c r="D3176" s="2" t="s">
        <v>43</v>
      </c>
      <c r="E3176" s="5">
        <v>-29526</v>
      </c>
      <c r="F3176" s="3" t="s">
        <v>307</v>
      </c>
      <c r="G3176" s="3" t="s">
        <v>55</v>
      </c>
      <c r="H3176" s="2" t="s">
        <v>65</v>
      </c>
      <c r="I3176" s="2" t="s">
        <v>7845</v>
      </c>
      <c r="J3176" s="3" t="str">
        <f>HYPERLINK("https://www.boe.es/gazeta/dias/1819/02/27/pdfs/GMD-1819-25.pdf#page=7","Abrir facsímil")</f>
        <v>Abrir facsímil</v>
      </c>
      <c r="K3176" s="3" t="s">
        <v>67</v>
      </c>
    </row>
    <row r="3177" spans="1:11" ht="42" customHeight="1">
      <c r="A3177" s="2" t="s">
        <v>7841</v>
      </c>
      <c r="B3177" s="2" t="s">
        <v>7841</v>
      </c>
      <c r="C3177" s="2" t="s">
        <v>215</v>
      </c>
      <c r="D3177" s="2" t="s">
        <v>18</v>
      </c>
      <c r="E3177" s="5">
        <v>-29521</v>
      </c>
      <c r="F3177" s="3" t="s">
        <v>1002</v>
      </c>
      <c r="G3177" s="3" t="s">
        <v>55</v>
      </c>
      <c r="H3177" s="2" t="s">
        <v>65</v>
      </c>
      <c r="I3177" s="2" t="s">
        <v>7846</v>
      </c>
      <c r="J3177" s="3" t="str">
        <f>HYPERLINK("https://www.boe.es/gazeta/dias/1819/03/04/pdfs/GMD-1819-27.pdf#page=7","Abrir facsímil")</f>
        <v>Abrir facsímil</v>
      </c>
      <c r="K3177" s="3" t="s">
        <v>67</v>
      </c>
    </row>
    <row r="3178" spans="1:11" ht="42" customHeight="1">
      <c r="A3178" s="2" t="s">
        <v>7841</v>
      </c>
      <c r="B3178" s="2" t="s">
        <v>7841</v>
      </c>
      <c r="C3178" s="2" t="s">
        <v>63</v>
      </c>
      <c r="D3178" s="2" t="s">
        <v>43</v>
      </c>
      <c r="E3178" s="5">
        <v>-29474</v>
      </c>
      <c r="F3178" s="3" t="s">
        <v>216</v>
      </c>
      <c r="G3178" s="3" t="s">
        <v>28</v>
      </c>
      <c r="H3178" s="2" t="s">
        <v>65</v>
      </c>
      <c r="I3178" s="2" t="s">
        <v>7847</v>
      </c>
      <c r="J3178" s="3" t="str">
        <f>HYPERLINK("https://www.boe.es/gazeta/dias/1819/04/20/pdfs/GMD-1819-47.pdf#page=8","Abrir facsímil")</f>
        <v>Abrir facsímil</v>
      </c>
      <c r="K3178" s="3" t="s">
        <v>67</v>
      </c>
    </row>
    <row r="3179" spans="1:11" ht="42" customHeight="1">
      <c r="A3179" s="2" t="s">
        <v>7841</v>
      </c>
      <c r="B3179" s="2" t="s">
        <v>7841</v>
      </c>
      <c r="C3179" s="2" t="s">
        <v>59</v>
      </c>
      <c r="D3179" s="2" t="s">
        <v>18</v>
      </c>
      <c r="E3179" s="5">
        <v>-29458</v>
      </c>
      <c r="F3179" s="3" t="s">
        <v>766</v>
      </c>
      <c r="G3179" s="3" t="s">
        <v>38</v>
      </c>
      <c r="H3179" s="2" t="s">
        <v>65</v>
      </c>
      <c r="I3179" s="2" t="s">
        <v>7848</v>
      </c>
      <c r="J3179" s="3" t="str">
        <f>HYPERLINK("https://www.boe.es/gazeta/dias/1819/05/06/pdfs/GMD-1819-54.pdf#page=5","Abrir facsímil")</f>
        <v>Abrir facsímil</v>
      </c>
      <c r="K3179" s="3" t="s">
        <v>67</v>
      </c>
    </row>
    <row r="3180" spans="1:11" ht="42" customHeight="1">
      <c r="A3180" s="2" t="s">
        <v>7841</v>
      </c>
      <c r="B3180" s="2" t="s">
        <v>7841</v>
      </c>
      <c r="C3180" s="2" t="s">
        <v>59</v>
      </c>
      <c r="D3180" s="2" t="s">
        <v>18</v>
      </c>
      <c r="E3180" s="5">
        <v>-29458</v>
      </c>
      <c r="F3180" s="3" t="s">
        <v>766</v>
      </c>
      <c r="G3180" s="3" t="s">
        <v>33</v>
      </c>
      <c r="H3180" s="2" t="s">
        <v>65</v>
      </c>
      <c r="I3180" s="2" t="s">
        <v>7849</v>
      </c>
      <c r="J3180" s="3" t="str">
        <f>HYPERLINK("https://www.boe.es/gazeta/dias/1819/05/06/pdfs/GMD-1819-54.pdf#page=6","Abrir facsímil")</f>
        <v>Abrir facsímil</v>
      </c>
      <c r="K3180" s="3" t="s">
        <v>67</v>
      </c>
    </row>
    <row r="3181" spans="1:11" ht="42" customHeight="1">
      <c r="A3181" s="2" t="s">
        <v>7841</v>
      </c>
      <c r="B3181" s="2" t="s">
        <v>7841</v>
      </c>
      <c r="C3181" s="2" t="s">
        <v>59</v>
      </c>
      <c r="D3181" s="2" t="s">
        <v>18</v>
      </c>
      <c r="E3181" s="5">
        <v>-29453</v>
      </c>
      <c r="F3181" s="3" t="s">
        <v>768</v>
      </c>
      <c r="G3181" s="3" t="s">
        <v>28</v>
      </c>
      <c r="H3181" s="2" t="s">
        <v>65</v>
      </c>
      <c r="I3181" s="2" t="s">
        <v>7850</v>
      </c>
      <c r="J3181" s="3" t="str">
        <f>HYPERLINK("https://www.boe.es/gazeta/dias/1819/05/11/pdfs/GMD-1819-56.pdf#page=8","Abrir facsímil")</f>
        <v>Abrir facsímil</v>
      </c>
      <c r="K3181" s="3" t="s">
        <v>67</v>
      </c>
    </row>
    <row r="3182" spans="1:11" ht="42" customHeight="1">
      <c r="A3182" s="2" t="s">
        <v>7841</v>
      </c>
      <c r="B3182" s="2" t="s">
        <v>7841</v>
      </c>
      <c r="C3182" s="2" t="s">
        <v>63</v>
      </c>
      <c r="D3182" s="2" t="s">
        <v>43</v>
      </c>
      <c r="E3182" s="5">
        <v>-29388</v>
      </c>
      <c r="F3182" s="3" t="s">
        <v>879</v>
      </c>
      <c r="G3182" s="3" t="s">
        <v>28</v>
      </c>
      <c r="H3182" s="2" t="s">
        <v>65</v>
      </c>
      <c r="I3182" s="2" t="s">
        <v>7851</v>
      </c>
      <c r="J3182" s="3" t="str">
        <f>HYPERLINK("https://www.boe.es/gazeta/dias/1819/07/15/pdfs/GMD-1819-85.pdf#page=8","Abrir facsímil")</f>
        <v>Abrir facsímil</v>
      </c>
      <c r="K3182" s="3" t="s">
        <v>67</v>
      </c>
    </row>
    <row r="3183" spans="1:11" ht="42" customHeight="1">
      <c r="A3183" s="2" t="s">
        <v>7841</v>
      </c>
      <c r="B3183" s="2" t="s">
        <v>7841</v>
      </c>
      <c r="C3183" s="2" t="s">
        <v>17</v>
      </c>
      <c r="D3183" s="2" t="s">
        <v>18</v>
      </c>
      <c r="E3183" s="5">
        <v>-29316</v>
      </c>
      <c r="F3183" s="3" t="s">
        <v>166</v>
      </c>
      <c r="G3183" s="3" t="s">
        <v>20</v>
      </c>
      <c r="H3183" s="2" t="s">
        <v>65</v>
      </c>
      <c r="I3183" s="2" t="s">
        <v>7852</v>
      </c>
      <c r="J3183" s="3" t="str">
        <f>HYPERLINK("https://www.boe.es/gazeta/dias/1819/09/25/pdfs/GMD-1819-118.pdf#page=10","Abrir facsímil")</f>
        <v>Abrir facsímil</v>
      </c>
      <c r="K3183" s="3" t="s">
        <v>67</v>
      </c>
    </row>
    <row r="3184" spans="1:11" ht="42" customHeight="1">
      <c r="A3184" s="2" t="s">
        <v>7841</v>
      </c>
      <c r="B3184" s="2" t="s">
        <v>7841</v>
      </c>
      <c r="C3184" s="2" t="s">
        <v>136</v>
      </c>
      <c r="D3184" s="2" t="s">
        <v>18</v>
      </c>
      <c r="E3184" s="5">
        <v>-29316</v>
      </c>
      <c r="F3184" s="3" t="s">
        <v>166</v>
      </c>
      <c r="G3184" s="3" t="s">
        <v>33</v>
      </c>
      <c r="H3184" s="2" t="s">
        <v>65</v>
      </c>
      <c r="I3184" s="2" t="s">
        <v>7853</v>
      </c>
      <c r="J3184" s="3" t="str">
        <f>HYPERLINK("https://www.boe.es/gazeta/dias/1819/09/25/pdfs/GMD-1819-118.pdf#page=6","Abrir facsímil")</f>
        <v>Abrir facsímil</v>
      </c>
      <c r="K3184" s="3" t="s">
        <v>67</v>
      </c>
    </row>
    <row r="3185" spans="1:11" ht="42" customHeight="1">
      <c r="A3185" s="2" t="s">
        <v>7841</v>
      </c>
      <c r="B3185" s="2" t="s">
        <v>7841</v>
      </c>
      <c r="C3185" s="2" t="s">
        <v>136</v>
      </c>
      <c r="D3185" s="2" t="s">
        <v>18</v>
      </c>
      <c r="E3185" s="5">
        <v>-29316</v>
      </c>
      <c r="F3185" s="3" t="s">
        <v>166</v>
      </c>
      <c r="G3185" s="3" t="s">
        <v>55</v>
      </c>
      <c r="H3185" s="2" t="s">
        <v>65</v>
      </c>
      <c r="I3185" s="2" t="s">
        <v>7854</v>
      </c>
      <c r="J3185" s="3" t="str">
        <f>HYPERLINK("https://www.boe.es/gazeta/dias/1819/09/25/pdfs/GMD-1819-118.pdf#page=7","Abrir facsímil")</f>
        <v>Abrir facsímil</v>
      </c>
      <c r="K3185" s="3" t="s">
        <v>67</v>
      </c>
    </row>
    <row r="3186" spans="1:11" ht="42" customHeight="1">
      <c r="A3186" s="2" t="s">
        <v>7855</v>
      </c>
      <c r="B3186" s="2" t="s">
        <v>7856</v>
      </c>
      <c r="C3186" s="2" t="s">
        <v>17</v>
      </c>
      <c r="D3186" s="2" t="s">
        <v>18</v>
      </c>
      <c r="E3186" s="5">
        <v>-29241</v>
      </c>
      <c r="F3186" s="3" t="s">
        <v>1382</v>
      </c>
      <c r="G3186" s="3" t="s">
        <v>33</v>
      </c>
      <c r="H3186" s="2" t="s">
        <v>65</v>
      </c>
      <c r="I3186" s="2" t="s">
        <v>7857</v>
      </c>
      <c r="J3186" s="3" t="str">
        <f>HYPERLINK("https://www.boe.es/gazeta/dias/1819/12/09/pdfs/GMD-1819-151.pdf#page=6","Abrir facsímil")</f>
        <v>Abrir facsímil</v>
      </c>
      <c r="K3186" s="3" t="s">
        <v>67</v>
      </c>
    </row>
    <row r="3187" spans="1:11" ht="42" customHeight="1">
      <c r="A3187" s="2" t="s">
        <v>7858</v>
      </c>
      <c r="B3187" s="2" t="s">
        <v>7859</v>
      </c>
      <c r="C3187" s="2" t="s">
        <v>59</v>
      </c>
      <c r="D3187" s="2" t="s">
        <v>18</v>
      </c>
      <c r="E3187" s="5">
        <v>-29355</v>
      </c>
      <c r="F3187" s="3" t="s">
        <v>347</v>
      </c>
      <c r="G3187" s="3" t="s">
        <v>348</v>
      </c>
      <c r="H3187" s="2" t="s">
        <v>65</v>
      </c>
      <c r="I3187" s="2" t="s">
        <v>7860</v>
      </c>
      <c r="J3187" s="3" t="str">
        <f>HYPERLINK("https://www.boe.es/gazeta/dias/1819/08/17/pdfs/GMD-1819-99.pdf#page=6","Abrir facsímil")</f>
        <v>Abrir facsímil</v>
      </c>
      <c r="K3187" s="3" t="s">
        <v>67</v>
      </c>
    </row>
    <row r="3188" spans="1:11" ht="42" customHeight="1">
      <c r="A3188" s="2" t="s">
        <v>7861</v>
      </c>
      <c r="B3188" s="2" t="s">
        <v>7862</v>
      </c>
      <c r="C3188" s="2" t="s">
        <v>215</v>
      </c>
      <c r="D3188" s="2" t="s">
        <v>18</v>
      </c>
      <c r="E3188" s="5">
        <v>-29416</v>
      </c>
      <c r="F3188" s="3" t="s">
        <v>251</v>
      </c>
      <c r="G3188" s="3" t="s">
        <v>55</v>
      </c>
      <c r="H3188" s="2" t="s">
        <v>65</v>
      </c>
      <c r="I3188" s="2" t="s">
        <v>7863</v>
      </c>
      <c r="J3188" s="3" t="str">
        <f>HYPERLINK("https://www.boe.es/gazeta/dias/1819/06/17/pdfs/GMD-1819-73.pdf#page=7","Abrir facsímil")</f>
        <v>Abrir facsímil</v>
      </c>
      <c r="K3188" s="3" t="s">
        <v>67</v>
      </c>
    </row>
    <row r="3189" spans="1:11" ht="42" customHeight="1">
      <c r="A3189" s="2" t="s">
        <v>7864</v>
      </c>
      <c r="B3189" s="2" t="s">
        <v>7864</v>
      </c>
      <c r="C3189" s="2" t="s">
        <v>80</v>
      </c>
      <c r="D3189" s="2" t="s">
        <v>81</v>
      </c>
      <c r="E3189" s="5">
        <v>-29302</v>
      </c>
      <c r="F3189" s="3" t="s">
        <v>4877</v>
      </c>
      <c r="G3189" s="3" t="s">
        <v>102</v>
      </c>
      <c r="H3189" s="2" t="s">
        <v>65</v>
      </c>
      <c r="I3189" s="2" t="s">
        <v>7865</v>
      </c>
      <c r="J3189" s="3" t="str">
        <f>HYPERLINK("https://www.boe.es/gazeta/dias/1819/10/09/pdfs/GMD-1819-124.pdf#page=3","Abrir facsímil")</f>
        <v>Abrir facsímil</v>
      </c>
      <c r="K3189" s="3" t="s">
        <v>67</v>
      </c>
    </row>
    <row r="3190" spans="1:11" ht="42" customHeight="1">
      <c r="A3190" s="2" t="s">
        <v>7866</v>
      </c>
      <c r="B3190" s="2" t="s">
        <v>7867</v>
      </c>
      <c r="C3190" s="2" t="s">
        <v>63</v>
      </c>
      <c r="D3190" s="2" t="s">
        <v>43</v>
      </c>
      <c r="E3190" s="5">
        <v>-29348</v>
      </c>
      <c r="F3190" s="3" t="s">
        <v>227</v>
      </c>
      <c r="G3190" s="3" t="s">
        <v>28</v>
      </c>
      <c r="H3190" s="2" t="s">
        <v>65</v>
      </c>
      <c r="I3190" s="2" t="s">
        <v>7868</v>
      </c>
      <c r="J3190" s="3" t="str">
        <f>HYPERLINK("https://www.boe.es/gazeta/dias/1819/08/24/pdfs/GMD-1819-102.pdf#page=8","Abrir facsímil")</f>
        <v>Abrir facsímil</v>
      </c>
      <c r="K3190" s="3" t="s">
        <v>67</v>
      </c>
    </row>
    <row r="3191" spans="1:11" ht="42" customHeight="1">
      <c r="A3191" s="2" t="s">
        <v>7869</v>
      </c>
      <c r="B3191" s="2" t="s">
        <v>7870</v>
      </c>
      <c r="C3191" s="2" t="s">
        <v>215</v>
      </c>
      <c r="D3191" s="2" t="s">
        <v>18</v>
      </c>
      <c r="E3191" s="5">
        <v>-29225</v>
      </c>
      <c r="F3191" s="3" t="s">
        <v>472</v>
      </c>
      <c r="G3191" s="3" t="s">
        <v>55</v>
      </c>
      <c r="H3191" s="2" t="s">
        <v>65</v>
      </c>
      <c r="I3191" s="2" t="s">
        <v>7871</v>
      </c>
      <c r="J3191" s="3" t="str">
        <f>HYPERLINK("https://www.boe.es/gazeta/dias/1819/12/25/pdfs/GMD-1819-158.pdf#page=7","Abrir facsímil")</f>
        <v>Abrir facsímil</v>
      </c>
      <c r="K3191" s="3" t="s">
        <v>67</v>
      </c>
    </row>
    <row r="3192" spans="1:11" ht="42" customHeight="1">
      <c r="A3192" s="2" t="s">
        <v>7872</v>
      </c>
      <c r="B3192" s="2" t="s">
        <v>7873</v>
      </c>
      <c r="C3192" s="2" t="s">
        <v>136</v>
      </c>
      <c r="D3192" s="2" t="s">
        <v>18</v>
      </c>
      <c r="E3192" s="5">
        <v>-29290</v>
      </c>
      <c r="F3192" s="3" t="s">
        <v>622</v>
      </c>
      <c r="G3192" s="3" t="s">
        <v>28</v>
      </c>
      <c r="H3192" s="2" t="s">
        <v>65</v>
      </c>
      <c r="I3192" s="2" t="s">
        <v>7874</v>
      </c>
      <c r="J3192" s="3" t="str">
        <f>HYPERLINK("https://www.boe.es/gazeta/dias/1819/10/21/pdfs/GMD-1819-129.pdf#page=8","Abrir facsímil")</f>
        <v>Abrir facsímil</v>
      </c>
      <c r="K3192" s="3" t="s">
        <v>67</v>
      </c>
    </row>
    <row r="3193" spans="1:11" ht="42" customHeight="1">
      <c r="A3193" s="2" t="s">
        <v>7875</v>
      </c>
      <c r="B3193" s="2" t="s">
        <v>7876</v>
      </c>
      <c r="C3193" s="2" t="s">
        <v>136</v>
      </c>
      <c r="D3193" s="2" t="s">
        <v>18</v>
      </c>
      <c r="E3193" s="5">
        <v>-29290</v>
      </c>
      <c r="F3193" s="3" t="s">
        <v>622</v>
      </c>
      <c r="G3193" s="3" t="s">
        <v>55</v>
      </c>
      <c r="H3193" s="2" t="s">
        <v>65</v>
      </c>
      <c r="I3193" s="2" t="s">
        <v>7877</v>
      </c>
      <c r="J3193" s="3" t="str">
        <f>HYPERLINK("https://www.boe.es/gazeta/dias/1819/10/21/pdfs/GMD-1819-129.pdf#page=7","Abrir facsímil")</f>
        <v>Abrir facsímil</v>
      </c>
      <c r="K3193" s="3" t="s">
        <v>67</v>
      </c>
    </row>
    <row r="3194" spans="1:11" ht="42" customHeight="1">
      <c r="A3194" s="2" t="s">
        <v>7878</v>
      </c>
      <c r="B3194" s="2" t="s">
        <v>7879</v>
      </c>
      <c r="C3194" s="2" t="s">
        <v>59</v>
      </c>
      <c r="D3194" s="2" t="s">
        <v>18</v>
      </c>
      <c r="E3194" s="5">
        <v>-29379</v>
      </c>
      <c r="F3194" s="3" t="s">
        <v>161</v>
      </c>
      <c r="G3194" s="3" t="s">
        <v>162</v>
      </c>
      <c r="H3194" s="2" t="s">
        <v>65</v>
      </c>
      <c r="I3194" s="2" t="s">
        <v>7880</v>
      </c>
      <c r="J3194" s="3" t="str">
        <f>HYPERLINK("https://www.boe.es/gazeta/dias/1819/07/24/pdfs/GMD-1819-89.pdf#page=5","Abrir facsímil")</f>
        <v>Abrir facsímil</v>
      </c>
      <c r="K3194" s="3" t="s">
        <v>67</v>
      </c>
    </row>
    <row r="3195" spans="1:11" ht="42" customHeight="1">
      <c r="A3195" s="2" t="s">
        <v>7881</v>
      </c>
      <c r="B3195" s="2" t="s">
        <v>7882</v>
      </c>
      <c r="C3195" s="2" t="s">
        <v>63</v>
      </c>
      <c r="D3195" s="2" t="s">
        <v>43</v>
      </c>
      <c r="E3195" s="5">
        <v>-29488</v>
      </c>
      <c r="F3195" s="3" t="s">
        <v>27</v>
      </c>
      <c r="G3195" s="3" t="s">
        <v>55</v>
      </c>
      <c r="H3195" s="2" t="s">
        <v>65</v>
      </c>
      <c r="I3195" s="2" t="s">
        <v>7883</v>
      </c>
      <c r="J3195" s="3" t="str">
        <f>HYPERLINK("https://www.boe.es/gazeta/dias/1819/04/06/pdfs/GMD-1819-41.pdf#page=7","Abrir facsímil")</f>
        <v>Abrir facsímil</v>
      </c>
      <c r="K3195" s="3" t="s">
        <v>67</v>
      </c>
    </row>
    <row r="3196" spans="1:11" ht="42" customHeight="1">
      <c r="A3196" s="2" t="s">
        <v>7884</v>
      </c>
      <c r="B3196" s="2" t="s">
        <v>7885</v>
      </c>
      <c r="C3196" s="2" t="s">
        <v>26</v>
      </c>
      <c r="D3196" s="2" t="s">
        <v>18</v>
      </c>
      <c r="E3196" s="5">
        <v>-29267</v>
      </c>
      <c r="F3196" s="3" t="s">
        <v>370</v>
      </c>
      <c r="G3196" s="3" t="s">
        <v>33</v>
      </c>
      <c r="H3196" s="2" t="s">
        <v>65</v>
      </c>
      <c r="I3196" s="2" t="s">
        <v>7886</v>
      </c>
      <c r="J3196" s="3" t="str">
        <f>HYPERLINK("https://www.boe.es/gazeta/dias/1819/11/13/pdfs/GMD-1819-140.pdf#page=6","Abrir facsímil")</f>
        <v>Abrir facsímil</v>
      </c>
      <c r="K3196" s="3" t="s">
        <v>67</v>
      </c>
    </row>
    <row r="3197" spans="1:11" ht="42" customHeight="1">
      <c r="A3197" s="2" t="s">
        <v>7887</v>
      </c>
      <c r="B3197" s="2" t="s">
        <v>7888</v>
      </c>
      <c r="C3197" s="2" t="s">
        <v>59</v>
      </c>
      <c r="D3197" s="2" t="s">
        <v>18</v>
      </c>
      <c r="E3197" s="5">
        <v>-29274</v>
      </c>
      <c r="F3197" s="3" t="s">
        <v>247</v>
      </c>
      <c r="G3197" s="3" t="s">
        <v>55</v>
      </c>
      <c r="H3197" s="2" t="s">
        <v>21</v>
      </c>
      <c r="I3197" s="2" t="s">
        <v>7889</v>
      </c>
      <c r="J3197" s="3" t="str">
        <f>HYPERLINK("https://www.boe.es/gazeta/dias/1819/11/06/pdfs/GMD-1819-137.pdf#page=7","Abrir facsímil")</f>
        <v>Abrir facsímil</v>
      </c>
      <c r="K3197" s="3" t="s">
        <v>23</v>
      </c>
    </row>
    <row r="3198" spans="1:11" ht="42" customHeight="1">
      <c r="A3198" s="2" t="s">
        <v>7890</v>
      </c>
      <c r="B3198" s="2" t="s">
        <v>7891</v>
      </c>
      <c r="C3198" s="2" t="s">
        <v>63</v>
      </c>
      <c r="D3198" s="2" t="s">
        <v>43</v>
      </c>
      <c r="E3198" s="5">
        <v>-29274</v>
      </c>
      <c r="F3198" s="3" t="s">
        <v>247</v>
      </c>
      <c r="G3198" s="3" t="s">
        <v>55</v>
      </c>
      <c r="H3198" s="2" t="s">
        <v>21</v>
      </c>
      <c r="I3198" s="2" t="s">
        <v>7892</v>
      </c>
      <c r="J3198" s="3" t="str">
        <f>HYPERLINK("https://www.boe.es/gazeta/dias/1819/11/06/pdfs/GMD-1819-137.pdf#page=7","Abrir facsímil")</f>
        <v>Abrir facsímil</v>
      </c>
      <c r="K3198" s="3" t="s">
        <v>23</v>
      </c>
    </row>
    <row r="3199" spans="1:11" ht="42" customHeight="1">
      <c r="A3199" s="2" t="s">
        <v>7893</v>
      </c>
      <c r="B3199" s="2" t="s">
        <v>7894</v>
      </c>
      <c r="C3199" s="2" t="s">
        <v>63</v>
      </c>
      <c r="D3199" s="2" t="s">
        <v>43</v>
      </c>
      <c r="E3199" s="5">
        <v>-29474</v>
      </c>
      <c r="F3199" s="3" t="s">
        <v>216</v>
      </c>
      <c r="G3199" s="3" t="s">
        <v>7895</v>
      </c>
      <c r="H3199" s="2" t="s">
        <v>21</v>
      </c>
      <c r="I3199" s="2" t="s">
        <v>7896</v>
      </c>
      <c r="J3199" s="3" t="str">
        <f>HYPERLINK("https://www.boe.es/gazeta/dias/1819/04/20/pdfs/GMD-1819-47.pdf#page=7","Abrir facsímil")</f>
        <v>Abrir facsímil</v>
      </c>
      <c r="K3199" s="3" t="s">
        <v>23</v>
      </c>
    </row>
    <row r="3200" spans="1:11" ht="42" customHeight="1">
      <c r="A3200" s="2" t="s">
        <v>7897</v>
      </c>
      <c r="B3200" s="2" t="s">
        <v>7897</v>
      </c>
      <c r="C3200" s="2" t="s">
        <v>80</v>
      </c>
      <c r="D3200" s="2" t="s">
        <v>81</v>
      </c>
      <c r="E3200" s="5">
        <v>-29481</v>
      </c>
      <c r="F3200" s="3" t="s">
        <v>1504</v>
      </c>
      <c r="G3200" s="3" t="s">
        <v>38</v>
      </c>
      <c r="H3200" s="2" t="s">
        <v>65</v>
      </c>
      <c r="I3200" s="2" t="s">
        <v>7898</v>
      </c>
      <c r="J3200" s="3" t="str">
        <f>HYPERLINK("https://www.boe.es/gazeta/dias/1819/04/13/pdfs/GMD-1819-44.pdf#page=5","Abrir facsímil")</f>
        <v>Abrir facsímil</v>
      </c>
      <c r="K3200" s="3" t="s">
        <v>67</v>
      </c>
    </row>
    <row r="3201" spans="1:11" ht="42" customHeight="1">
      <c r="A3201" s="2" t="s">
        <v>7899</v>
      </c>
      <c r="B3201" s="2" t="s">
        <v>7900</v>
      </c>
      <c r="C3201" s="2" t="s">
        <v>80</v>
      </c>
      <c r="D3201" s="2" t="s">
        <v>81</v>
      </c>
      <c r="E3201" s="5">
        <v>-29488</v>
      </c>
      <c r="F3201" s="3" t="s">
        <v>27</v>
      </c>
      <c r="G3201" s="3" t="s">
        <v>55</v>
      </c>
      <c r="H3201" s="2" t="s">
        <v>65</v>
      </c>
      <c r="I3201" s="2" t="s">
        <v>7901</v>
      </c>
      <c r="J3201" s="3" t="str">
        <f>HYPERLINK("https://www.boe.es/gazeta/dias/1819/04/06/pdfs/GMD-1819-41.pdf#page=7","Abrir facsímil")</f>
        <v>Abrir facsímil</v>
      </c>
      <c r="K3201" s="3" t="s">
        <v>67</v>
      </c>
    </row>
    <row r="3202" spans="1:11" ht="42" customHeight="1">
      <c r="A3202" s="2" t="s">
        <v>7902</v>
      </c>
      <c r="B3202" s="2" t="s">
        <v>7903</v>
      </c>
      <c r="C3202" s="2" t="s">
        <v>42</v>
      </c>
      <c r="D3202" s="2" t="s">
        <v>43</v>
      </c>
      <c r="E3202" s="5">
        <v>-29269</v>
      </c>
      <c r="F3202" s="3" t="s">
        <v>565</v>
      </c>
      <c r="G3202" s="3" t="s">
        <v>296</v>
      </c>
      <c r="H3202" s="2" t="s">
        <v>65</v>
      </c>
      <c r="I3202" s="2" t="s">
        <v>7904</v>
      </c>
      <c r="J3202" s="3" t="str">
        <f>HYPERLINK("https://www.boe.es/gazeta/dias/1819/11/11/pdfs/GMD-1819-139.pdf#page=4","Abrir facsímil")</f>
        <v>Abrir facsímil</v>
      </c>
      <c r="K3202" s="3" t="s">
        <v>67</v>
      </c>
    </row>
    <row r="3203" spans="1:11" ht="42" customHeight="1">
      <c r="A3203" s="2" t="s">
        <v>7905</v>
      </c>
      <c r="B3203" s="2" t="s">
        <v>7906</v>
      </c>
      <c r="C3203" s="2" t="s">
        <v>59</v>
      </c>
      <c r="D3203" s="2" t="s">
        <v>18</v>
      </c>
      <c r="E3203" s="5">
        <v>-29358</v>
      </c>
      <c r="F3203" s="3" t="s">
        <v>170</v>
      </c>
      <c r="G3203" s="3" t="s">
        <v>38</v>
      </c>
      <c r="H3203" s="2" t="s">
        <v>65</v>
      </c>
      <c r="I3203" s="2" t="s">
        <v>7907</v>
      </c>
      <c r="J3203" s="3" t="str">
        <f>HYPERLINK("https://www.boe.es/gazeta/dias/1819/08/14/pdfs/GMD-1819-98.pdf#page=5","Abrir facsímil")</f>
        <v>Abrir facsímil</v>
      </c>
      <c r="K3203" s="3" t="s">
        <v>67</v>
      </c>
    </row>
    <row r="3204" spans="1:11" ht="42" customHeight="1">
      <c r="A3204" s="2" t="s">
        <v>7908</v>
      </c>
      <c r="B3204" s="2" t="s">
        <v>7908</v>
      </c>
      <c r="C3204" s="2" t="s">
        <v>80</v>
      </c>
      <c r="D3204" s="2" t="s">
        <v>81</v>
      </c>
      <c r="E3204" s="5">
        <v>-29481</v>
      </c>
      <c r="F3204" s="3" t="s">
        <v>1504</v>
      </c>
      <c r="G3204" s="3" t="s">
        <v>38</v>
      </c>
      <c r="H3204" s="2" t="s">
        <v>65</v>
      </c>
      <c r="I3204" s="2" t="s">
        <v>7909</v>
      </c>
      <c r="J3204" s="3" t="str">
        <f>HYPERLINK("https://www.boe.es/gazeta/dias/1819/04/13/pdfs/GMD-1819-44.pdf#page=5","Abrir facsímil")</f>
        <v>Abrir facsímil</v>
      </c>
      <c r="K3204" s="3" t="s">
        <v>67</v>
      </c>
    </row>
    <row r="3205" spans="1:11" ht="42" customHeight="1">
      <c r="A3205" s="2" t="s">
        <v>7910</v>
      </c>
      <c r="B3205" s="2" t="s">
        <v>7911</v>
      </c>
      <c r="C3205" s="2" t="s">
        <v>246</v>
      </c>
      <c r="D3205" s="2" t="s">
        <v>18</v>
      </c>
      <c r="E3205" s="5">
        <v>-29393</v>
      </c>
      <c r="F3205" s="3" t="s">
        <v>536</v>
      </c>
      <c r="G3205" s="3" t="s">
        <v>38</v>
      </c>
      <c r="H3205" s="2" t="s">
        <v>65</v>
      </c>
      <c r="I3205" s="2" t="s">
        <v>7912</v>
      </c>
      <c r="J3205" s="3" t="str">
        <f>HYPERLINK("https://www.boe.es/gazeta/dias/1819/07/10/pdfs/GMD-1819-83.pdf#page=5","Abrir facsímil")</f>
        <v>Abrir facsímil</v>
      </c>
      <c r="K3205" s="3" t="s">
        <v>67</v>
      </c>
    </row>
    <row r="3206" spans="1:11" ht="42" customHeight="1">
      <c r="A3206" s="2" t="s">
        <v>7913</v>
      </c>
      <c r="B3206" s="2" t="s">
        <v>7914</v>
      </c>
      <c r="C3206" s="2" t="s">
        <v>63</v>
      </c>
      <c r="D3206" s="2" t="s">
        <v>43</v>
      </c>
      <c r="E3206" s="5">
        <v>-29281</v>
      </c>
      <c r="F3206" s="3" t="s">
        <v>19</v>
      </c>
      <c r="G3206" s="3" t="s">
        <v>28</v>
      </c>
      <c r="H3206" s="2" t="s">
        <v>65</v>
      </c>
      <c r="I3206" s="2" t="s">
        <v>7915</v>
      </c>
      <c r="J3206" s="3" t="str">
        <f>HYPERLINK("https://www.boe.es/gazeta/dias/1819/10/30/pdfs/GMD-1819-134.pdf#page=8","Abrir facsímil")</f>
        <v>Abrir facsímil</v>
      </c>
      <c r="K3206" s="3" t="s">
        <v>67</v>
      </c>
    </row>
    <row r="3207" spans="1:11" ht="42" customHeight="1">
      <c r="A3207" s="2" t="s">
        <v>7916</v>
      </c>
      <c r="B3207" s="2" t="s">
        <v>7917</v>
      </c>
      <c r="C3207" s="2" t="s">
        <v>80</v>
      </c>
      <c r="D3207" s="2" t="s">
        <v>81</v>
      </c>
      <c r="E3207" s="5">
        <v>-29297</v>
      </c>
      <c r="F3207" s="3" t="s">
        <v>82</v>
      </c>
      <c r="G3207" s="3" t="s">
        <v>55</v>
      </c>
      <c r="H3207" s="2" t="s">
        <v>65</v>
      </c>
      <c r="I3207" s="2" t="s">
        <v>7918</v>
      </c>
      <c r="J3207" s="3" t="str">
        <f>HYPERLINK("https://www.boe.es/gazeta/dias/1819/10/14/pdfs/GMD-1819-126.pdf#page=7","Abrir facsímil")</f>
        <v>Abrir facsímil</v>
      </c>
      <c r="K3207" s="3" t="s">
        <v>67</v>
      </c>
    </row>
    <row r="3208" spans="1:11" ht="42" customHeight="1">
      <c r="A3208" s="2" t="s">
        <v>7919</v>
      </c>
      <c r="B3208" s="2" t="s">
        <v>7920</v>
      </c>
      <c r="C3208" s="2" t="s">
        <v>80</v>
      </c>
      <c r="D3208" s="2" t="s">
        <v>81</v>
      </c>
      <c r="E3208" s="5">
        <v>-29423</v>
      </c>
      <c r="F3208" s="3" t="s">
        <v>1205</v>
      </c>
      <c r="G3208" s="3" t="s">
        <v>2915</v>
      </c>
      <c r="H3208" s="2" t="s">
        <v>65</v>
      </c>
      <c r="I3208" s="2" t="s">
        <v>7921</v>
      </c>
      <c r="J3208" s="3" t="str">
        <f>HYPERLINK("https://www.boe.es/gazeta/dias/1819/06/10/pdfs/GMD-1819-69.pdf#page=6","Abrir facsímil")</f>
        <v>Abrir facsímil</v>
      </c>
      <c r="K3208" s="3" t="s">
        <v>67</v>
      </c>
    </row>
    <row r="3209" spans="1:11" ht="42" customHeight="1">
      <c r="A3209" s="2" t="s">
        <v>7922</v>
      </c>
      <c r="B3209" s="2" t="s">
        <v>7923</v>
      </c>
      <c r="C3209" s="2" t="s">
        <v>80</v>
      </c>
      <c r="D3209" s="2" t="s">
        <v>81</v>
      </c>
      <c r="E3209" s="5">
        <v>-29526</v>
      </c>
      <c r="F3209" s="3" t="s">
        <v>307</v>
      </c>
      <c r="G3209" s="3" t="s">
        <v>55</v>
      </c>
      <c r="H3209" s="2" t="s">
        <v>65</v>
      </c>
      <c r="I3209" s="2" t="s">
        <v>7924</v>
      </c>
      <c r="J3209" s="3" t="str">
        <f>HYPERLINK("https://www.boe.es/gazeta/dias/1819/02/27/pdfs/GMD-1819-25.pdf#page=7","Abrir facsímil")</f>
        <v>Abrir facsímil</v>
      </c>
      <c r="K3209" s="3" t="s">
        <v>67</v>
      </c>
    </row>
    <row r="3210" spans="1:11" ht="42" customHeight="1">
      <c r="A3210" s="2" t="s">
        <v>7925</v>
      </c>
      <c r="B3210" s="2" t="s">
        <v>7926</v>
      </c>
      <c r="C3210" s="2" t="s">
        <v>215</v>
      </c>
      <c r="D3210" s="2" t="s">
        <v>18</v>
      </c>
      <c r="E3210" s="5">
        <v>-29495</v>
      </c>
      <c r="F3210" s="3" t="s">
        <v>992</v>
      </c>
      <c r="G3210" s="3" t="s">
        <v>993</v>
      </c>
      <c r="H3210" s="2" t="s">
        <v>65</v>
      </c>
      <c r="I3210" s="2" t="s">
        <v>7927</v>
      </c>
      <c r="J3210" s="3" t="str">
        <f>HYPERLINK("https://www.boe.es/gazeta/dias/1819/03/30/pdfs/GMD-1819-38.pdf#page=12","Abrir facsímil")</f>
        <v>Abrir facsímil</v>
      </c>
      <c r="K3210" s="3" t="s">
        <v>67</v>
      </c>
    </row>
    <row r="3211" spans="1:11" ht="42" customHeight="1">
      <c r="A3211" s="2" t="s">
        <v>7925</v>
      </c>
      <c r="B3211" s="2" t="s">
        <v>7926</v>
      </c>
      <c r="C3211" s="2" t="s">
        <v>63</v>
      </c>
      <c r="D3211" s="2" t="s">
        <v>43</v>
      </c>
      <c r="E3211" s="5">
        <v>-29451</v>
      </c>
      <c r="F3211" s="3" t="s">
        <v>208</v>
      </c>
      <c r="G3211" s="3" t="s">
        <v>55</v>
      </c>
      <c r="H3211" s="2" t="s">
        <v>65</v>
      </c>
      <c r="I3211" s="2" t="s">
        <v>7928</v>
      </c>
      <c r="J3211" s="3" t="str">
        <f>HYPERLINK("https://www.boe.es/gazeta/dias/1819/05/13/pdfs/GMD-1819-57.pdf#page=7","Abrir facsímil")</f>
        <v>Abrir facsímil</v>
      </c>
      <c r="K3211" s="3" t="s">
        <v>67</v>
      </c>
    </row>
    <row r="3212" spans="1:11" ht="42" customHeight="1">
      <c r="A3212" s="2" t="s">
        <v>7925</v>
      </c>
      <c r="B3212" s="2" t="s">
        <v>7926</v>
      </c>
      <c r="C3212" s="2" t="s">
        <v>59</v>
      </c>
      <c r="D3212" s="2" t="s">
        <v>18</v>
      </c>
      <c r="E3212" s="5">
        <v>-29388</v>
      </c>
      <c r="F3212" s="3" t="s">
        <v>879</v>
      </c>
      <c r="G3212" s="3" t="s">
        <v>28</v>
      </c>
      <c r="H3212" s="2" t="s">
        <v>65</v>
      </c>
      <c r="I3212" s="2" t="s">
        <v>7929</v>
      </c>
      <c r="J3212" s="3" t="str">
        <f>HYPERLINK("https://www.boe.es/gazeta/dias/1819/07/15/pdfs/GMD-1819-85.pdf#page=8","Abrir facsímil")</f>
        <v>Abrir facsímil</v>
      </c>
      <c r="K3212" s="3" t="s">
        <v>67</v>
      </c>
    </row>
    <row r="3213" spans="1:11" ht="42" customHeight="1">
      <c r="A3213" s="2" t="s">
        <v>7925</v>
      </c>
      <c r="B3213" s="2" t="s">
        <v>7926</v>
      </c>
      <c r="C3213" s="2" t="s">
        <v>63</v>
      </c>
      <c r="D3213" s="2" t="s">
        <v>43</v>
      </c>
      <c r="E3213" s="5">
        <v>-29243</v>
      </c>
      <c r="F3213" s="3" t="s">
        <v>2099</v>
      </c>
      <c r="G3213" s="3" t="s">
        <v>55</v>
      </c>
      <c r="H3213" s="2" t="s">
        <v>65</v>
      </c>
      <c r="I3213" s="2" t="s">
        <v>7930</v>
      </c>
      <c r="J3213" s="3" t="str">
        <f>HYPERLINK("https://www.boe.es/gazeta/dias/1819/12/07/pdfs/GMD-1819-150.pdf#page=7","Abrir facsímil")</f>
        <v>Abrir facsímil</v>
      </c>
      <c r="K3213" s="3" t="s">
        <v>67</v>
      </c>
    </row>
    <row r="3214" spans="1:11" ht="42" customHeight="1">
      <c r="A3214" s="2" t="s">
        <v>7931</v>
      </c>
      <c r="B3214" s="2" t="s">
        <v>7932</v>
      </c>
      <c r="C3214" s="2" t="s">
        <v>80</v>
      </c>
      <c r="D3214" s="2" t="s">
        <v>454</v>
      </c>
      <c r="E3214" s="5">
        <v>-29287</v>
      </c>
      <c r="F3214" s="3" t="s">
        <v>455</v>
      </c>
      <c r="G3214" s="3" t="s">
        <v>481</v>
      </c>
      <c r="H3214" s="2" t="s">
        <v>65</v>
      </c>
      <c r="I3214" s="2" t="s">
        <v>7933</v>
      </c>
      <c r="J3214" s="3" t="str">
        <f>HYPERLINK("https://www.boe.es/gazeta/dias/1819/10/24/pdfs/GMD-1819-131E.pdf#page=8","Abrir facsímil")</f>
        <v>Abrir facsímil</v>
      </c>
      <c r="K3214" s="3" t="s">
        <v>67</v>
      </c>
    </row>
    <row r="3215" spans="1:11" ht="42" customHeight="1">
      <c r="A3215" s="2" t="s">
        <v>7934</v>
      </c>
      <c r="B3215" s="2" t="s">
        <v>7934</v>
      </c>
      <c r="C3215" s="2" t="s">
        <v>246</v>
      </c>
      <c r="D3215" s="2" t="s">
        <v>18</v>
      </c>
      <c r="E3215" s="5">
        <v>-29267</v>
      </c>
      <c r="F3215" s="3" t="s">
        <v>370</v>
      </c>
      <c r="G3215" s="3" t="s">
        <v>296</v>
      </c>
      <c r="H3215" s="2" t="s">
        <v>65</v>
      </c>
      <c r="I3215" s="2" t="s">
        <v>7935</v>
      </c>
      <c r="J3215" s="3" t="str">
        <f>HYPERLINK("https://www.boe.es/gazeta/dias/1819/11/13/pdfs/GMD-1819-140.pdf#page=4","Abrir facsímil")</f>
        <v>Abrir facsímil</v>
      </c>
      <c r="K3215" s="3" t="s">
        <v>67</v>
      </c>
    </row>
    <row r="3216" spans="1:11" ht="42" customHeight="1">
      <c r="A3216" s="2" t="s">
        <v>7936</v>
      </c>
      <c r="B3216" s="2" t="s">
        <v>7937</v>
      </c>
      <c r="C3216" s="2" t="s">
        <v>63</v>
      </c>
      <c r="D3216" s="2" t="s">
        <v>43</v>
      </c>
      <c r="E3216" s="5">
        <v>-29243</v>
      </c>
      <c r="F3216" s="3" t="s">
        <v>2099</v>
      </c>
      <c r="G3216" s="3" t="s">
        <v>2100</v>
      </c>
      <c r="H3216" s="2" t="s">
        <v>65</v>
      </c>
      <c r="I3216" s="2" t="s">
        <v>7938</v>
      </c>
      <c r="J3216" s="3" t="str">
        <f>HYPERLINK("https://www.boe.es/gazeta/dias/1819/12/07/pdfs/GMD-1819-150.pdf#page=6","Abrir facsímil")</f>
        <v>Abrir facsímil</v>
      </c>
      <c r="K3216" s="3" t="s">
        <v>67</v>
      </c>
    </row>
    <row r="3217" spans="1:11" ht="42" customHeight="1">
      <c r="A3217" s="2" t="s">
        <v>7939</v>
      </c>
      <c r="B3217" s="2" t="s">
        <v>7940</v>
      </c>
      <c r="C3217" s="2" t="s">
        <v>63</v>
      </c>
      <c r="D3217" s="2" t="s">
        <v>43</v>
      </c>
      <c r="E3217" s="5">
        <v>-29271</v>
      </c>
      <c r="F3217" s="3" t="s">
        <v>32</v>
      </c>
      <c r="G3217" s="3" t="s">
        <v>55</v>
      </c>
      <c r="H3217" s="2" t="s">
        <v>65</v>
      </c>
      <c r="I3217" s="2" t="s">
        <v>7941</v>
      </c>
      <c r="J3217" s="3" t="str">
        <f>HYPERLINK("https://www.boe.es/gazeta/dias/1819/11/09/pdfs/GMD-1819-138.pdf#page=7","Abrir facsímil")</f>
        <v>Abrir facsímil</v>
      </c>
      <c r="K3217" s="3" t="s">
        <v>67</v>
      </c>
    </row>
    <row r="3218" spans="1:11" ht="42" customHeight="1">
      <c r="A3218" s="2" t="s">
        <v>7942</v>
      </c>
      <c r="B3218" s="2" t="s">
        <v>7943</v>
      </c>
      <c r="C3218" s="2" t="s">
        <v>63</v>
      </c>
      <c r="D3218" s="2" t="s">
        <v>43</v>
      </c>
      <c r="E3218" s="5">
        <v>-29458</v>
      </c>
      <c r="F3218" s="3" t="s">
        <v>766</v>
      </c>
      <c r="G3218" s="3" t="s">
        <v>33</v>
      </c>
      <c r="H3218" s="2" t="s">
        <v>65</v>
      </c>
      <c r="I3218" s="2" t="s">
        <v>7944</v>
      </c>
      <c r="J3218" s="3" t="str">
        <f>HYPERLINK("https://www.boe.es/gazeta/dias/1819/05/06/pdfs/GMD-1819-54.pdf#page=6","Abrir facsímil")</f>
        <v>Abrir facsímil</v>
      </c>
      <c r="K3218" s="3" t="s">
        <v>67</v>
      </c>
    </row>
    <row r="3219" spans="1:11" ht="42" customHeight="1">
      <c r="A3219" s="2" t="s">
        <v>7945</v>
      </c>
      <c r="B3219" s="2" t="s">
        <v>7946</v>
      </c>
      <c r="C3219" s="2" t="s">
        <v>63</v>
      </c>
      <c r="D3219" s="2" t="s">
        <v>43</v>
      </c>
      <c r="E3219" s="5">
        <v>-29337</v>
      </c>
      <c r="F3219" s="3" t="s">
        <v>1098</v>
      </c>
      <c r="G3219" s="3" t="s">
        <v>55</v>
      </c>
      <c r="H3219" s="2" t="s">
        <v>65</v>
      </c>
      <c r="I3219" s="2" t="s">
        <v>7947</v>
      </c>
      <c r="J3219" s="3" t="str">
        <f>HYPERLINK("https://www.boe.es/gazeta/dias/1819/09/04/pdfs/GMD-1819-108.pdf#page=7","Abrir facsímil")</f>
        <v>Abrir facsímil</v>
      </c>
      <c r="K3219" s="3" t="s">
        <v>67</v>
      </c>
    </row>
    <row r="3220" spans="1:11" ht="42" customHeight="1">
      <c r="A3220" s="2" t="s">
        <v>7948</v>
      </c>
      <c r="B3220" s="2" t="s">
        <v>7949</v>
      </c>
      <c r="C3220" s="2" t="s">
        <v>59</v>
      </c>
      <c r="D3220" s="2" t="s">
        <v>18</v>
      </c>
      <c r="E3220" s="5">
        <v>-29290</v>
      </c>
      <c r="F3220" s="3" t="s">
        <v>622</v>
      </c>
      <c r="G3220" s="3" t="s">
        <v>55</v>
      </c>
      <c r="H3220" s="2" t="s">
        <v>65</v>
      </c>
      <c r="I3220" s="2" t="s">
        <v>7950</v>
      </c>
      <c r="J3220" s="3" t="str">
        <f>HYPERLINK("https://www.boe.es/gazeta/dias/1819/10/21/pdfs/GMD-1819-129.pdf#page=7","Abrir facsímil")</f>
        <v>Abrir facsímil</v>
      </c>
      <c r="K3220" s="3" t="s">
        <v>67</v>
      </c>
    </row>
    <row r="3221" spans="1:11" ht="42" customHeight="1">
      <c r="A3221" s="2" t="s">
        <v>7951</v>
      </c>
      <c r="B3221" s="2" t="s">
        <v>7952</v>
      </c>
      <c r="C3221" s="2" t="s">
        <v>80</v>
      </c>
      <c r="D3221" s="2" t="s">
        <v>81</v>
      </c>
      <c r="E3221" s="5">
        <v>-29465</v>
      </c>
      <c r="F3221" s="3" t="s">
        <v>1934</v>
      </c>
      <c r="G3221" s="3" t="s">
        <v>1935</v>
      </c>
      <c r="H3221" s="2" t="s">
        <v>65</v>
      </c>
      <c r="I3221" s="2" t="s">
        <v>7953</v>
      </c>
      <c r="J3221" s="3" t="str">
        <f>HYPERLINK("https://www.boe.es/gazeta/dias/1819/04/29/pdfs/GMD-1819-51.pdf#page=7","Abrir facsímil")</f>
        <v>Abrir facsímil</v>
      </c>
      <c r="K3221" s="3" t="s">
        <v>67</v>
      </c>
    </row>
    <row r="3222" spans="1:11" ht="42" customHeight="1">
      <c r="A3222" s="2" t="s">
        <v>7954</v>
      </c>
      <c r="B3222" s="2" t="s">
        <v>7955</v>
      </c>
      <c r="C3222" s="2" t="s">
        <v>80</v>
      </c>
      <c r="D3222" s="2" t="s">
        <v>81</v>
      </c>
      <c r="E3222" s="5">
        <v>-29411</v>
      </c>
      <c r="F3222" s="3" t="s">
        <v>317</v>
      </c>
      <c r="G3222" s="3" t="s">
        <v>33</v>
      </c>
      <c r="H3222" s="2" t="s">
        <v>65</v>
      </c>
      <c r="I3222" s="2" t="s">
        <v>7956</v>
      </c>
      <c r="J3222" s="3" t="str">
        <f>HYPERLINK("https://www.boe.es/gazeta/dias/1819/06/22/pdfs/GMD-1819-75.pdf#page=6","Abrir facsímil")</f>
        <v>Abrir facsímil</v>
      </c>
      <c r="K3222" s="3" t="s">
        <v>67</v>
      </c>
    </row>
    <row r="3223" spans="1:11" ht="42" customHeight="1">
      <c r="A3223" s="2" t="s">
        <v>7957</v>
      </c>
      <c r="B3223" s="2" t="s">
        <v>7958</v>
      </c>
      <c r="C3223" s="2" t="s">
        <v>26</v>
      </c>
      <c r="D3223" s="2" t="s">
        <v>18</v>
      </c>
      <c r="E3223" s="5">
        <v>-29267</v>
      </c>
      <c r="F3223" s="3" t="s">
        <v>370</v>
      </c>
      <c r="G3223" s="3" t="s">
        <v>33</v>
      </c>
      <c r="H3223" s="2" t="s">
        <v>21</v>
      </c>
      <c r="I3223" s="2" t="s">
        <v>7959</v>
      </c>
      <c r="J3223" s="3" t="str">
        <f>HYPERLINK("https://www.boe.es/gazeta/dias/1819/11/13/pdfs/GMD-1819-140.pdf#page=6","Abrir facsímil")</f>
        <v>Abrir facsímil</v>
      </c>
      <c r="K3223" s="3" t="s">
        <v>23</v>
      </c>
    </row>
    <row r="3224" spans="1:11" ht="42" customHeight="1">
      <c r="A3224" s="2" t="s">
        <v>7960</v>
      </c>
      <c r="B3224" s="2" t="s">
        <v>7961</v>
      </c>
      <c r="C3224" s="2" t="s">
        <v>63</v>
      </c>
      <c r="D3224" s="2" t="s">
        <v>454</v>
      </c>
      <c r="E3224" s="5">
        <v>-29324</v>
      </c>
      <c r="F3224" s="3" t="s">
        <v>914</v>
      </c>
      <c r="G3224" s="3" t="s">
        <v>259</v>
      </c>
      <c r="H3224" s="2" t="s">
        <v>65</v>
      </c>
      <c r="I3224" s="2" t="s">
        <v>7962</v>
      </c>
      <c r="J3224" s="3" t="str">
        <f>HYPERLINK("https://www.boe.es/gazeta/dias/1819/09/17/pdfs/GMD-1819-114E.pdf#page=2","Abrir facsímil")</f>
        <v>Abrir facsímil</v>
      </c>
      <c r="K3224" s="3" t="s">
        <v>67</v>
      </c>
    </row>
    <row r="3225" spans="1:11" ht="42" customHeight="1">
      <c r="A3225" s="2" t="s">
        <v>7963</v>
      </c>
      <c r="B3225" s="2" t="s">
        <v>7964</v>
      </c>
      <c r="C3225" s="2" t="s">
        <v>26</v>
      </c>
      <c r="D3225" s="2" t="s">
        <v>18</v>
      </c>
      <c r="E3225" s="5">
        <v>-29271</v>
      </c>
      <c r="F3225" s="3" t="s">
        <v>32</v>
      </c>
      <c r="G3225" s="3" t="s">
        <v>33</v>
      </c>
      <c r="H3225" s="2" t="s">
        <v>21</v>
      </c>
      <c r="I3225" s="2" t="s">
        <v>7965</v>
      </c>
      <c r="J3225" s="3" t="str">
        <f>HYPERLINK("https://www.boe.es/gazeta/dias/1819/11/09/pdfs/GMD-1819-138.pdf#page=6","Abrir facsímil")</f>
        <v>Abrir facsímil</v>
      </c>
      <c r="K3225" s="3" t="s">
        <v>23</v>
      </c>
    </row>
    <row r="3226" spans="1:11" ht="42" customHeight="1">
      <c r="A3226" s="2" t="s">
        <v>7966</v>
      </c>
      <c r="B3226" s="2" t="s">
        <v>7967</v>
      </c>
      <c r="C3226" s="2" t="s">
        <v>63</v>
      </c>
      <c r="D3226" s="2" t="s">
        <v>43</v>
      </c>
      <c r="E3226" s="5">
        <v>-29234</v>
      </c>
      <c r="F3226" s="3" t="s">
        <v>343</v>
      </c>
      <c r="G3226" s="3" t="s">
        <v>28</v>
      </c>
      <c r="H3226" s="2" t="s">
        <v>65</v>
      </c>
      <c r="I3226" s="2" t="s">
        <v>7968</v>
      </c>
      <c r="J3226" s="3" t="str">
        <f>HYPERLINK("https://www.boe.es/gazeta/dias/1819/12/16/pdfs/GMD-1819-154.pdf#page=8","Abrir facsímil")</f>
        <v>Abrir facsímil</v>
      </c>
      <c r="K3226" s="3" t="s">
        <v>67</v>
      </c>
    </row>
    <row r="3227" spans="1:11" ht="42" customHeight="1">
      <c r="A3227" s="2" t="s">
        <v>7969</v>
      </c>
      <c r="B3227" s="2" t="s">
        <v>7970</v>
      </c>
      <c r="C3227" s="2" t="s">
        <v>63</v>
      </c>
      <c r="D3227" s="2" t="s">
        <v>43</v>
      </c>
      <c r="E3227" s="5">
        <v>-29505</v>
      </c>
      <c r="F3227" s="3" t="s">
        <v>597</v>
      </c>
      <c r="G3227" s="3" t="s">
        <v>55</v>
      </c>
      <c r="H3227" s="2" t="s">
        <v>65</v>
      </c>
      <c r="I3227" s="2" t="s">
        <v>7971</v>
      </c>
      <c r="J3227" s="3" t="str">
        <f>HYPERLINK("https://www.boe.es/gazeta/dias/1819/03/20/pdfs/GMD-1819-34.pdf#page=7","Abrir facsímil")</f>
        <v>Abrir facsímil</v>
      </c>
      <c r="K3227" s="3" t="s">
        <v>67</v>
      </c>
    </row>
    <row r="3228" spans="1:11" ht="42" customHeight="1">
      <c r="A3228" s="2" t="s">
        <v>7969</v>
      </c>
      <c r="B3228" s="2" t="s">
        <v>7970</v>
      </c>
      <c r="C3228" s="2" t="s">
        <v>63</v>
      </c>
      <c r="D3228" s="2" t="s">
        <v>43</v>
      </c>
      <c r="E3228" s="5">
        <v>-29437</v>
      </c>
      <c r="F3228" s="3" t="s">
        <v>1147</v>
      </c>
      <c r="G3228" s="3" t="s">
        <v>55</v>
      </c>
      <c r="H3228" s="2" t="s">
        <v>65</v>
      </c>
      <c r="I3228" s="2" t="s">
        <v>7972</v>
      </c>
      <c r="J3228" s="3" t="str">
        <f>HYPERLINK("https://www.boe.es/gazeta/dias/1819/05/27/pdfs/GMD-1819-63.pdf#page=7","Abrir facsímil")</f>
        <v>Abrir facsímil</v>
      </c>
      <c r="K3228" s="3" t="s">
        <v>67</v>
      </c>
    </row>
    <row r="3229" spans="1:11" ht="42" customHeight="1">
      <c r="A3229" s="2" t="s">
        <v>7969</v>
      </c>
      <c r="B3229" s="2" t="s">
        <v>7970</v>
      </c>
      <c r="C3229" s="2" t="s">
        <v>63</v>
      </c>
      <c r="D3229" s="2" t="s">
        <v>43</v>
      </c>
      <c r="E3229" s="5">
        <v>-29409</v>
      </c>
      <c r="F3229" s="3" t="s">
        <v>106</v>
      </c>
      <c r="G3229" s="3" t="s">
        <v>28</v>
      </c>
      <c r="H3229" s="2" t="s">
        <v>65</v>
      </c>
      <c r="I3229" s="2" t="s">
        <v>7973</v>
      </c>
      <c r="J3229" s="3" t="str">
        <f>HYPERLINK("https://www.boe.es/gazeta/dias/1819/06/24/pdfs/GMD-1819-76.pdf#page=8","Abrir facsímil")</f>
        <v>Abrir facsímil</v>
      </c>
      <c r="K3229" s="3" t="s">
        <v>67</v>
      </c>
    </row>
    <row r="3230" spans="1:11" ht="42" customHeight="1">
      <c r="A3230" s="2" t="s">
        <v>7969</v>
      </c>
      <c r="B3230" s="2" t="s">
        <v>7970</v>
      </c>
      <c r="C3230" s="2" t="s">
        <v>63</v>
      </c>
      <c r="D3230" s="2" t="s">
        <v>43</v>
      </c>
      <c r="E3230" s="5">
        <v>-29351</v>
      </c>
      <c r="F3230" s="3" t="s">
        <v>101</v>
      </c>
      <c r="G3230" s="3" t="s">
        <v>28</v>
      </c>
      <c r="H3230" s="2" t="s">
        <v>65</v>
      </c>
      <c r="I3230" s="2" t="s">
        <v>7974</v>
      </c>
      <c r="J3230" s="3" t="str">
        <f>HYPERLINK("https://www.boe.es/gazeta/dias/1819/08/21/pdfs/GMD-1819-101.pdf#page=8","Abrir facsímil")</f>
        <v>Abrir facsímil</v>
      </c>
      <c r="K3230" s="3" t="s">
        <v>67</v>
      </c>
    </row>
    <row r="3231" spans="1:11" ht="42" customHeight="1">
      <c r="A3231" s="2" t="s">
        <v>7969</v>
      </c>
      <c r="B3231" s="2" t="s">
        <v>7970</v>
      </c>
      <c r="C3231" s="2" t="s">
        <v>63</v>
      </c>
      <c r="D3231" s="2" t="s">
        <v>43</v>
      </c>
      <c r="E3231" s="5">
        <v>-29330</v>
      </c>
      <c r="F3231" s="3" t="s">
        <v>1406</v>
      </c>
      <c r="G3231" s="3" t="s">
        <v>28</v>
      </c>
      <c r="H3231" s="2" t="s">
        <v>65</v>
      </c>
      <c r="I3231" s="2" t="s">
        <v>7975</v>
      </c>
      <c r="J3231" s="3" t="str">
        <f>HYPERLINK("https://www.boe.es/gazeta/dias/1819/09/11/pdfs/GMD-1819-111.pdf#page=8","Abrir facsímil")</f>
        <v>Abrir facsímil</v>
      </c>
      <c r="K3231" s="3" t="s">
        <v>67</v>
      </c>
    </row>
    <row r="3232" spans="1:11" ht="42" customHeight="1">
      <c r="A3232" s="2" t="s">
        <v>7969</v>
      </c>
      <c r="B3232" s="2" t="s">
        <v>7970</v>
      </c>
      <c r="C3232" s="2" t="s">
        <v>63</v>
      </c>
      <c r="D3232" s="2" t="s">
        <v>43</v>
      </c>
      <c r="E3232" s="5">
        <v>-29327</v>
      </c>
      <c r="F3232" s="3" t="s">
        <v>620</v>
      </c>
      <c r="G3232" s="3" t="s">
        <v>55</v>
      </c>
      <c r="H3232" s="2" t="s">
        <v>65</v>
      </c>
      <c r="I3232" s="2" t="s">
        <v>7976</v>
      </c>
      <c r="J3232" s="3" t="str">
        <f>HYPERLINK("https://www.boe.es/gazeta/dias/1819/09/14/pdfs/GMD-1819-112.pdf#page=7","Abrir facsímil")</f>
        <v>Abrir facsímil</v>
      </c>
      <c r="K3232" s="3" t="s">
        <v>67</v>
      </c>
    </row>
    <row r="3233" spans="1:11" ht="42" customHeight="1">
      <c r="A3233" s="2" t="s">
        <v>7969</v>
      </c>
      <c r="B3233" s="2" t="s">
        <v>7970</v>
      </c>
      <c r="C3233" s="2" t="s">
        <v>63</v>
      </c>
      <c r="D3233" s="2" t="s">
        <v>43</v>
      </c>
      <c r="E3233" s="5">
        <v>-29323</v>
      </c>
      <c r="F3233" s="3" t="s">
        <v>270</v>
      </c>
      <c r="G3233" s="3" t="s">
        <v>55</v>
      </c>
      <c r="H3233" s="2" t="s">
        <v>65</v>
      </c>
      <c r="I3233" s="2" t="s">
        <v>7977</v>
      </c>
      <c r="J3233" s="3" t="str">
        <f>HYPERLINK("https://www.boe.es/gazeta/dias/1819/09/18/pdfs/GMD-1819-115.pdf#page=7","Abrir facsímil")</f>
        <v>Abrir facsímil</v>
      </c>
      <c r="K3233" s="3" t="s">
        <v>67</v>
      </c>
    </row>
    <row r="3234" spans="1:11" ht="42" customHeight="1">
      <c r="A3234" s="2" t="s">
        <v>7969</v>
      </c>
      <c r="B3234" s="2" t="s">
        <v>7970</v>
      </c>
      <c r="C3234" s="2" t="s">
        <v>63</v>
      </c>
      <c r="D3234" s="2" t="s">
        <v>43</v>
      </c>
      <c r="E3234" s="5">
        <v>-29290</v>
      </c>
      <c r="F3234" s="3" t="s">
        <v>622</v>
      </c>
      <c r="G3234" s="3" t="s">
        <v>28</v>
      </c>
      <c r="H3234" s="2" t="s">
        <v>65</v>
      </c>
      <c r="I3234" s="2" t="s">
        <v>7978</v>
      </c>
      <c r="J3234" s="3" t="str">
        <f>HYPERLINK("https://www.boe.es/gazeta/dias/1819/10/21/pdfs/GMD-1819-129.pdf#page=8","Abrir facsímil")</f>
        <v>Abrir facsímil</v>
      </c>
      <c r="K3234" s="3" t="s">
        <v>67</v>
      </c>
    </row>
    <row r="3235" spans="1:11" ht="42" customHeight="1">
      <c r="A3235" s="2" t="s">
        <v>7969</v>
      </c>
      <c r="B3235" s="2" t="s">
        <v>7970</v>
      </c>
      <c r="C3235" s="2" t="s">
        <v>63</v>
      </c>
      <c r="D3235" s="2" t="s">
        <v>43</v>
      </c>
      <c r="E3235" s="5">
        <v>-29285</v>
      </c>
      <c r="F3235" s="3" t="s">
        <v>578</v>
      </c>
      <c r="G3235" s="3" t="s">
        <v>28</v>
      </c>
      <c r="H3235" s="2" t="s">
        <v>65</v>
      </c>
      <c r="I3235" s="2" t="s">
        <v>7979</v>
      </c>
      <c r="J3235" s="3" t="str">
        <f>HYPERLINK("https://www.boe.es/gazeta/dias/1819/10/26/pdfs/GMD-1819-132.pdf#page=8","Abrir facsímil")</f>
        <v>Abrir facsímil</v>
      </c>
      <c r="K3235" s="3" t="s">
        <v>67</v>
      </c>
    </row>
    <row r="3236" spans="1:11" ht="42" customHeight="1">
      <c r="A3236" s="2" t="s">
        <v>7969</v>
      </c>
      <c r="B3236" s="2" t="s">
        <v>7970</v>
      </c>
      <c r="C3236" s="2" t="s">
        <v>63</v>
      </c>
      <c r="D3236" s="2" t="s">
        <v>43</v>
      </c>
      <c r="E3236" s="5">
        <v>-29255</v>
      </c>
      <c r="F3236" s="3" t="s">
        <v>357</v>
      </c>
      <c r="G3236" s="3" t="s">
        <v>28</v>
      </c>
      <c r="H3236" s="2" t="s">
        <v>65</v>
      </c>
      <c r="I3236" s="2" t="s">
        <v>7980</v>
      </c>
      <c r="J3236" s="3" t="str">
        <f>HYPERLINK("https://www.boe.es/gazeta/dias/1819/11/25/pdfs/GMD-1819-145.pdf#page=8","Abrir facsímil")</f>
        <v>Abrir facsímil</v>
      </c>
      <c r="K3236" s="3" t="s">
        <v>67</v>
      </c>
    </row>
    <row r="3237" spans="1:11" ht="42" customHeight="1">
      <c r="A3237" s="2" t="s">
        <v>7969</v>
      </c>
      <c r="B3237" s="2" t="s">
        <v>7970</v>
      </c>
      <c r="C3237" s="2" t="s">
        <v>63</v>
      </c>
      <c r="D3237" s="2" t="s">
        <v>43</v>
      </c>
      <c r="E3237" s="5">
        <v>-29250</v>
      </c>
      <c r="F3237" s="3" t="s">
        <v>312</v>
      </c>
      <c r="G3237" s="3" t="s">
        <v>313</v>
      </c>
      <c r="H3237" s="2" t="s">
        <v>65</v>
      </c>
      <c r="I3237" s="2" t="s">
        <v>7981</v>
      </c>
      <c r="J3237" s="3" t="str">
        <f>HYPERLINK("https://www.boe.es/gazeta/dias/1819/11/30/pdfs/GMD-1819-147.pdf#page=8","Abrir facsímil")</f>
        <v>Abrir facsímil</v>
      </c>
      <c r="K3237" s="3" t="s">
        <v>67</v>
      </c>
    </row>
    <row r="3238" spans="1:11" ht="42" customHeight="1">
      <c r="A3238" s="2" t="s">
        <v>7969</v>
      </c>
      <c r="B3238" s="2" t="s">
        <v>7970</v>
      </c>
      <c r="C3238" s="2" t="s">
        <v>63</v>
      </c>
      <c r="D3238" s="2" t="s">
        <v>43</v>
      </c>
      <c r="E3238" s="5">
        <v>-29243</v>
      </c>
      <c r="F3238" s="3" t="s">
        <v>2099</v>
      </c>
      <c r="G3238" s="3" t="s">
        <v>28</v>
      </c>
      <c r="H3238" s="2" t="s">
        <v>65</v>
      </c>
      <c r="I3238" s="2" t="s">
        <v>7982</v>
      </c>
      <c r="J3238" s="3" t="str">
        <f>HYPERLINK("https://www.boe.es/gazeta/dias/1819/12/07/pdfs/GMD-1819-150.pdf#page=8","Abrir facsímil")</f>
        <v>Abrir facsímil</v>
      </c>
      <c r="K3238" s="3" t="s">
        <v>67</v>
      </c>
    </row>
    <row r="3239" spans="1:11" ht="42" customHeight="1">
      <c r="A3239" s="2" t="s">
        <v>7969</v>
      </c>
      <c r="B3239" s="2" t="s">
        <v>7970</v>
      </c>
      <c r="C3239" s="2" t="s">
        <v>63</v>
      </c>
      <c r="D3239" s="2" t="s">
        <v>43</v>
      </c>
      <c r="E3239" s="5">
        <v>-29220</v>
      </c>
      <c r="F3239" s="3" t="s">
        <v>397</v>
      </c>
      <c r="G3239" s="3" t="s">
        <v>28</v>
      </c>
      <c r="H3239" s="2" t="s">
        <v>65</v>
      </c>
      <c r="I3239" s="2" t="s">
        <v>7983</v>
      </c>
      <c r="J3239" s="3" t="str">
        <f>HYPERLINK("https://www.boe.es/gazeta/dias/1819/12/30/pdfs/GMD-1819-160.pdf#page=8","Abrir facsímil")</f>
        <v>Abrir facsímil</v>
      </c>
      <c r="K3239" s="3" t="s">
        <v>67</v>
      </c>
    </row>
    <row r="3240" spans="1:11" ht="42" customHeight="1">
      <c r="A3240" s="2" t="s">
        <v>7984</v>
      </c>
      <c r="B3240" s="2" t="s">
        <v>7985</v>
      </c>
      <c r="C3240" s="2" t="s">
        <v>63</v>
      </c>
      <c r="D3240" s="2" t="s">
        <v>43</v>
      </c>
      <c r="E3240" s="5">
        <v>-29477</v>
      </c>
      <c r="F3240" s="3" t="s">
        <v>789</v>
      </c>
      <c r="G3240" s="3" t="s">
        <v>55</v>
      </c>
      <c r="H3240" s="2" t="s">
        <v>65</v>
      </c>
      <c r="I3240" s="2" t="s">
        <v>7986</v>
      </c>
      <c r="J3240" s="3" t="str">
        <f>HYPERLINK("https://www.boe.es/gazeta/dias/1819/04/17/pdfs/GMD-1819-46.pdf#page=7","Abrir facsímil")</f>
        <v>Abrir facsímil</v>
      </c>
      <c r="K3240" s="3" t="s">
        <v>67</v>
      </c>
    </row>
    <row r="3241" spans="1:11" ht="42" customHeight="1">
      <c r="A3241" s="2" t="s">
        <v>7987</v>
      </c>
      <c r="B3241" s="2" t="s">
        <v>7988</v>
      </c>
      <c r="C3241" s="2" t="s">
        <v>63</v>
      </c>
      <c r="D3241" s="2" t="s">
        <v>43</v>
      </c>
      <c r="E3241" s="5">
        <v>-29351</v>
      </c>
      <c r="F3241" s="3" t="s">
        <v>101</v>
      </c>
      <c r="G3241" s="3" t="s">
        <v>28</v>
      </c>
      <c r="H3241" s="2" t="s">
        <v>65</v>
      </c>
      <c r="I3241" s="2" t="s">
        <v>7989</v>
      </c>
      <c r="J3241" s="3" t="str">
        <f>HYPERLINK("https://www.boe.es/gazeta/dias/1819/08/21/pdfs/GMD-1819-101.pdf#page=8","Abrir facsímil")</f>
        <v>Abrir facsímil</v>
      </c>
      <c r="K3241" s="3" t="s">
        <v>67</v>
      </c>
    </row>
    <row r="3242" spans="1:11" ht="42" customHeight="1">
      <c r="A3242" s="2" t="s">
        <v>7990</v>
      </c>
      <c r="B3242" s="2" t="s">
        <v>7990</v>
      </c>
      <c r="C3242" s="2" t="s">
        <v>63</v>
      </c>
      <c r="D3242" s="2" t="s">
        <v>43</v>
      </c>
      <c r="E3242" s="5">
        <v>-29353</v>
      </c>
      <c r="F3242" s="3" t="s">
        <v>867</v>
      </c>
      <c r="G3242" s="3" t="s">
        <v>28</v>
      </c>
      <c r="H3242" s="2" t="s">
        <v>65</v>
      </c>
      <c r="I3242" s="2" t="s">
        <v>7991</v>
      </c>
      <c r="J3242" s="3" t="str">
        <f>HYPERLINK("https://www.boe.es/gazeta/dias/1819/08/19/pdfs/GMD-1819-100.pdf#page=8","Abrir facsímil")</f>
        <v>Abrir facsímil</v>
      </c>
      <c r="K3242" s="3" t="s">
        <v>67</v>
      </c>
    </row>
    <row r="3243" spans="1:11" ht="42" customHeight="1">
      <c r="A3243" s="2" t="s">
        <v>7992</v>
      </c>
      <c r="B3243" s="2" t="s">
        <v>7993</v>
      </c>
      <c r="C3243" s="2" t="s">
        <v>63</v>
      </c>
      <c r="D3243" s="2" t="s">
        <v>43</v>
      </c>
      <c r="E3243" s="5">
        <v>-29565</v>
      </c>
      <c r="F3243" s="3" t="s">
        <v>293</v>
      </c>
      <c r="G3243" s="3" t="s">
        <v>1608</v>
      </c>
      <c r="H3243" s="2" t="s">
        <v>65</v>
      </c>
      <c r="I3243" s="2" t="s">
        <v>7994</v>
      </c>
      <c r="J3243" s="3" t="str">
        <f>HYPERLINK("https://www.boe.es/gazeta/dias/1819/01/19/pdfs/GMD-1819-8.pdf#page=8","Abrir facsímil")</f>
        <v>Abrir facsímil</v>
      </c>
      <c r="K3243" s="3" t="s">
        <v>67</v>
      </c>
    </row>
    <row r="3244" spans="1:11" ht="42" customHeight="1">
      <c r="A3244" s="2" t="s">
        <v>7995</v>
      </c>
      <c r="B3244" s="2" t="s">
        <v>7996</v>
      </c>
      <c r="C3244" s="2" t="s">
        <v>80</v>
      </c>
      <c r="D3244" s="2" t="s">
        <v>81</v>
      </c>
      <c r="E3244" s="5">
        <v>-29297</v>
      </c>
      <c r="F3244" s="3" t="s">
        <v>82</v>
      </c>
      <c r="G3244" s="3" t="s">
        <v>55</v>
      </c>
      <c r="H3244" s="2" t="s">
        <v>65</v>
      </c>
      <c r="I3244" s="2" t="s">
        <v>7997</v>
      </c>
      <c r="J3244" s="3" t="str">
        <f>HYPERLINK("https://www.boe.es/gazeta/dias/1819/10/14/pdfs/GMD-1819-126.pdf#page=7","Abrir facsímil")</f>
        <v>Abrir facsímil</v>
      </c>
      <c r="K3244" s="3" t="s">
        <v>67</v>
      </c>
    </row>
    <row r="3245" spans="1:11" ht="42" customHeight="1">
      <c r="A3245" s="2" t="s">
        <v>7998</v>
      </c>
      <c r="B3245" s="2" t="s">
        <v>7999</v>
      </c>
      <c r="C3245" s="2" t="s">
        <v>63</v>
      </c>
      <c r="D3245" s="2" t="s">
        <v>43</v>
      </c>
      <c r="E3245" s="5">
        <v>-29411</v>
      </c>
      <c r="F3245" s="3" t="s">
        <v>317</v>
      </c>
      <c r="G3245" s="3" t="s">
        <v>38</v>
      </c>
      <c r="H3245" s="2" t="s">
        <v>65</v>
      </c>
      <c r="I3245" s="2" t="s">
        <v>8000</v>
      </c>
      <c r="J3245" s="3" t="str">
        <f>HYPERLINK("https://www.boe.es/gazeta/dias/1819/06/22/pdfs/GMD-1819-75.pdf#page=5","Abrir facsímil")</f>
        <v>Abrir facsímil</v>
      </c>
      <c r="K3245" s="3" t="s">
        <v>67</v>
      </c>
    </row>
    <row r="3246" spans="1:11" ht="42" customHeight="1">
      <c r="A3246" s="2" t="s">
        <v>8001</v>
      </c>
      <c r="B3246" s="2" t="s">
        <v>8002</v>
      </c>
      <c r="C3246" s="2" t="s">
        <v>59</v>
      </c>
      <c r="D3246" s="2" t="s">
        <v>18</v>
      </c>
      <c r="E3246" s="5">
        <v>-29281</v>
      </c>
      <c r="F3246" s="3" t="s">
        <v>19</v>
      </c>
      <c r="G3246" s="3" t="s">
        <v>28</v>
      </c>
      <c r="H3246" s="2" t="s">
        <v>21</v>
      </c>
      <c r="I3246" s="2" t="s">
        <v>8003</v>
      </c>
      <c r="J3246" s="3" t="str">
        <f>HYPERLINK("https://www.boe.es/gazeta/dias/1819/10/30/pdfs/GMD-1819-134.pdf#page=8","Abrir facsímil")</f>
        <v>Abrir facsímil</v>
      </c>
      <c r="K3246" s="3" t="s">
        <v>23</v>
      </c>
    </row>
    <row r="3247" spans="1:11" ht="42" customHeight="1">
      <c r="A3247" s="2" t="s">
        <v>8004</v>
      </c>
      <c r="B3247" s="2" t="s">
        <v>8005</v>
      </c>
      <c r="C3247" s="2" t="s">
        <v>59</v>
      </c>
      <c r="D3247" s="2" t="s">
        <v>18</v>
      </c>
      <c r="E3247" s="5">
        <v>-29414</v>
      </c>
      <c r="F3247" s="3" t="s">
        <v>732</v>
      </c>
      <c r="G3247" s="3" t="s">
        <v>55</v>
      </c>
      <c r="H3247" s="2" t="s">
        <v>65</v>
      </c>
      <c r="I3247" s="2" t="s">
        <v>8006</v>
      </c>
      <c r="J3247" s="3" t="str">
        <f>HYPERLINK("https://www.boe.es/gazeta/dias/1819/06/19/pdfs/GMD-1819-74.pdf#page=7","Abrir facsímil")</f>
        <v>Abrir facsímil</v>
      </c>
      <c r="K3247" s="3" t="s">
        <v>67</v>
      </c>
    </row>
    <row r="3248" spans="1:11" ht="42" customHeight="1">
      <c r="A3248" s="2" t="s">
        <v>8007</v>
      </c>
      <c r="B3248" s="2" t="s">
        <v>8008</v>
      </c>
      <c r="C3248" s="2" t="s">
        <v>59</v>
      </c>
      <c r="D3248" s="2" t="s">
        <v>18</v>
      </c>
      <c r="E3248" s="5">
        <v>-29274</v>
      </c>
      <c r="F3248" s="3" t="s">
        <v>247</v>
      </c>
      <c r="G3248" s="3" t="s">
        <v>55</v>
      </c>
      <c r="H3248" s="2" t="s">
        <v>65</v>
      </c>
      <c r="I3248" s="2" t="s">
        <v>8009</v>
      </c>
      <c r="J3248" s="3" t="str">
        <f>HYPERLINK("https://www.boe.es/gazeta/dias/1819/11/06/pdfs/GMD-1819-137.pdf#page=7","Abrir facsímil")</f>
        <v>Abrir facsímil</v>
      </c>
      <c r="K3248" s="3" t="s">
        <v>67</v>
      </c>
    </row>
    <row r="3249" spans="1:11" ht="42" customHeight="1">
      <c r="A3249" s="2" t="s">
        <v>8010</v>
      </c>
      <c r="B3249" s="2" t="s">
        <v>8011</v>
      </c>
      <c r="C3249" s="2" t="s">
        <v>136</v>
      </c>
      <c r="D3249" s="2" t="s">
        <v>18</v>
      </c>
      <c r="E3249" s="5">
        <v>-29437</v>
      </c>
      <c r="F3249" s="3" t="s">
        <v>1147</v>
      </c>
      <c r="G3249" s="3" t="s">
        <v>55</v>
      </c>
      <c r="H3249" s="2" t="s">
        <v>65</v>
      </c>
      <c r="I3249" s="2" t="s">
        <v>8012</v>
      </c>
      <c r="J3249" s="3" t="str">
        <f>HYPERLINK("https://www.boe.es/gazeta/dias/1819/05/27/pdfs/GMD-1819-63.pdf#page=7","Abrir facsímil")</f>
        <v>Abrir facsímil</v>
      </c>
      <c r="K3249" s="3" t="s">
        <v>67</v>
      </c>
    </row>
    <row r="3250" spans="1:11" ht="42" customHeight="1">
      <c r="A3250" s="2" t="s">
        <v>8013</v>
      </c>
      <c r="B3250" s="2" t="s">
        <v>8014</v>
      </c>
      <c r="C3250" s="2" t="s">
        <v>17</v>
      </c>
      <c r="D3250" s="2" t="s">
        <v>18</v>
      </c>
      <c r="E3250" s="5">
        <v>-29281</v>
      </c>
      <c r="F3250" s="3" t="s">
        <v>19</v>
      </c>
      <c r="G3250" s="3" t="s">
        <v>20</v>
      </c>
      <c r="H3250" s="2" t="s">
        <v>65</v>
      </c>
      <c r="I3250" s="2" t="s">
        <v>8015</v>
      </c>
      <c r="J3250" s="3" t="str">
        <f>HYPERLINK("https://www.boe.es/gazeta/dias/1819/10/30/pdfs/GMD-1819-134.pdf#page=10","Abrir facsímil")</f>
        <v>Abrir facsímil</v>
      </c>
      <c r="K3250" s="3" t="s">
        <v>67</v>
      </c>
    </row>
    <row r="3251" spans="1:11" ht="42" customHeight="1">
      <c r="A3251" s="2" t="s">
        <v>8016</v>
      </c>
      <c r="B3251" s="2" t="s">
        <v>8017</v>
      </c>
      <c r="C3251" s="2" t="s">
        <v>136</v>
      </c>
      <c r="D3251" s="2" t="s">
        <v>18</v>
      </c>
      <c r="E3251" s="5">
        <v>-29260</v>
      </c>
      <c r="F3251" s="3" t="s">
        <v>93</v>
      </c>
      <c r="G3251" s="3" t="s">
        <v>38</v>
      </c>
      <c r="H3251" s="2" t="s">
        <v>65</v>
      </c>
      <c r="I3251" s="2" t="s">
        <v>8018</v>
      </c>
      <c r="J3251" s="3" t="str">
        <f>HYPERLINK("https://www.boe.es/gazeta/dias/1819/11/20/pdfs/GMD-1819-143.pdf#page=5","Abrir facsímil")</f>
        <v>Abrir facsímil</v>
      </c>
      <c r="K3251" s="3" t="s">
        <v>67</v>
      </c>
    </row>
    <row r="3252" spans="1:11" ht="42" customHeight="1">
      <c r="A3252" s="2" t="s">
        <v>8019</v>
      </c>
      <c r="B3252" s="2" t="s">
        <v>8020</v>
      </c>
      <c r="C3252" s="2" t="s">
        <v>80</v>
      </c>
      <c r="D3252" s="2" t="s">
        <v>81</v>
      </c>
      <c r="E3252" s="5">
        <v>-29456</v>
      </c>
      <c r="F3252" s="3" t="s">
        <v>468</v>
      </c>
      <c r="G3252" s="3" t="s">
        <v>55</v>
      </c>
      <c r="H3252" s="2" t="s">
        <v>65</v>
      </c>
      <c r="I3252" s="2" t="s">
        <v>8021</v>
      </c>
      <c r="J3252" s="3" t="str">
        <f>HYPERLINK("https://www.boe.es/gazeta/dias/1819/05/08/pdfs/GMD-1819-55.pdf#page=7","Abrir facsímil")</f>
        <v>Abrir facsímil</v>
      </c>
      <c r="K3252" s="3" t="s">
        <v>67</v>
      </c>
    </row>
    <row r="3253" spans="1:11" ht="42" customHeight="1">
      <c r="A3253" s="2" t="s">
        <v>8022</v>
      </c>
      <c r="B3253" s="2" t="s">
        <v>8023</v>
      </c>
      <c r="C3253" s="2" t="s">
        <v>59</v>
      </c>
      <c r="D3253" s="2" t="s">
        <v>18</v>
      </c>
      <c r="E3253" s="5">
        <v>-29355</v>
      </c>
      <c r="F3253" s="3" t="s">
        <v>347</v>
      </c>
      <c r="G3253" s="3" t="s">
        <v>348</v>
      </c>
      <c r="H3253" s="2" t="s">
        <v>65</v>
      </c>
      <c r="I3253" s="2" t="s">
        <v>8024</v>
      </c>
      <c r="J3253" s="3" t="str">
        <f>HYPERLINK("https://www.boe.es/gazeta/dias/1819/08/17/pdfs/GMD-1819-99.pdf#page=6","Abrir facsímil")</f>
        <v>Abrir facsímil</v>
      </c>
      <c r="K3253" s="3" t="s">
        <v>67</v>
      </c>
    </row>
    <row r="3254" spans="1:11" ht="42" customHeight="1">
      <c r="A3254" s="2" t="s">
        <v>8025</v>
      </c>
      <c r="B3254" s="2" t="s">
        <v>8026</v>
      </c>
      <c r="C3254" s="2" t="s">
        <v>80</v>
      </c>
      <c r="D3254" s="2" t="s">
        <v>81</v>
      </c>
      <c r="E3254" s="5">
        <v>-29442</v>
      </c>
      <c r="F3254" s="3" t="s">
        <v>427</v>
      </c>
      <c r="G3254" s="3" t="s">
        <v>33</v>
      </c>
      <c r="H3254" s="2" t="s">
        <v>65</v>
      </c>
      <c r="I3254" s="2" t="s">
        <v>8027</v>
      </c>
      <c r="J3254" s="3" t="str">
        <f>HYPERLINK("https://www.boe.es/gazeta/dias/1819/05/22/pdfs/GMD-1819-61.pdf#page=6","Abrir facsímil")</f>
        <v>Abrir facsímil</v>
      </c>
      <c r="K3254" s="3" t="s">
        <v>67</v>
      </c>
    </row>
    <row r="3255" spans="1:11" ht="42" customHeight="1">
      <c r="A3255" s="2" t="s">
        <v>8025</v>
      </c>
      <c r="B3255" s="2" t="s">
        <v>8026</v>
      </c>
      <c r="C3255" s="2" t="s">
        <v>63</v>
      </c>
      <c r="D3255" s="2" t="s">
        <v>43</v>
      </c>
      <c r="E3255" s="5">
        <v>-29297</v>
      </c>
      <c r="F3255" s="3" t="s">
        <v>82</v>
      </c>
      <c r="G3255" s="3" t="s">
        <v>33</v>
      </c>
      <c r="H3255" s="2" t="s">
        <v>65</v>
      </c>
      <c r="I3255" s="2" t="s">
        <v>8028</v>
      </c>
      <c r="J3255" s="3" t="str">
        <f>HYPERLINK("https://www.boe.es/gazeta/dias/1819/10/14/pdfs/GMD-1819-126.pdf#page=6","Abrir facsímil")</f>
        <v>Abrir facsímil</v>
      </c>
      <c r="K3255" s="3" t="s">
        <v>67</v>
      </c>
    </row>
    <row r="3256" spans="1:11" ht="42" customHeight="1">
      <c r="A3256" s="2" t="s">
        <v>8029</v>
      </c>
      <c r="B3256" s="2" t="s">
        <v>8030</v>
      </c>
      <c r="C3256" s="2" t="s">
        <v>80</v>
      </c>
      <c r="D3256" s="2" t="s">
        <v>81</v>
      </c>
      <c r="E3256" s="5">
        <v>-29264</v>
      </c>
      <c r="F3256" s="3" t="s">
        <v>37</v>
      </c>
      <c r="G3256" s="3" t="s">
        <v>20</v>
      </c>
      <c r="H3256" s="2" t="s">
        <v>65</v>
      </c>
      <c r="I3256" s="2" t="s">
        <v>8031</v>
      </c>
      <c r="J3256" s="3" t="str">
        <f>HYPERLINK("https://www.boe.es/gazeta/dias/1819/11/16/pdfs/GMD-1819-141.pdf#page=10","Abrir facsímil")</f>
        <v>Abrir facsímil</v>
      </c>
      <c r="K3256" s="3" t="s">
        <v>67</v>
      </c>
    </row>
    <row r="3257" spans="1:11" ht="42" customHeight="1">
      <c r="A3257" s="2" t="s">
        <v>8032</v>
      </c>
      <c r="B3257" s="2" t="s">
        <v>8033</v>
      </c>
      <c r="C3257" s="2" t="s">
        <v>136</v>
      </c>
      <c r="D3257" s="2" t="s">
        <v>18</v>
      </c>
      <c r="E3257" s="5">
        <v>-29516</v>
      </c>
      <c r="F3257" s="3" t="s">
        <v>137</v>
      </c>
      <c r="G3257" s="3" t="s">
        <v>94</v>
      </c>
      <c r="H3257" s="2" t="s">
        <v>65</v>
      </c>
      <c r="I3257" s="2" t="s">
        <v>8034</v>
      </c>
      <c r="J3257" s="3" t="str">
        <f>HYPERLINK("https://www.boe.es/gazeta/dias/1819/03/09/pdfs/GMD-1819-29.pdf#page=11","Abrir facsímil")</f>
        <v>Abrir facsímil</v>
      </c>
      <c r="K3257" s="3" t="s">
        <v>67</v>
      </c>
    </row>
    <row r="3258" spans="1:11" ht="42" customHeight="1">
      <c r="A3258" s="2" t="s">
        <v>8035</v>
      </c>
      <c r="B3258" s="2" t="s">
        <v>8036</v>
      </c>
      <c r="C3258" s="2" t="s">
        <v>63</v>
      </c>
      <c r="D3258" s="2" t="s">
        <v>43</v>
      </c>
      <c r="E3258" s="5">
        <v>-29255</v>
      </c>
      <c r="F3258" s="3" t="s">
        <v>357</v>
      </c>
      <c r="G3258" s="3" t="s">
        <v>5261</v>
      </c>
      <c r="H3258" s="2" t="s">
        <v>65</v>
      </c>
      <c r="I3258" s="2" t="s">
        <v>8037</v>
      </c>
      <c r="J3258" s="3" t="str">
        <f>HYPERLINK("https://www.boe.es/gazeta/dias/1819/11/25/pdfs/GMD-1819-145.pdf#page=7","Abrir facsímil")</f>
        <v>Abrir facsímil</v>
      </c>
      <c r="K3258" s="3" t="s">
        <v>67</v>
      </c>
    </row>
    <row r="3259" spans="1:11" ht="42" customHeight="1">
      <c r="A3259" s="2" t="s">
        <v>8038</v>
      </c>
      <c r="B3259" s="2" t="s">
        <v>8039</v>
      </c>
      <c r="C3259" s="2" t="s">
        <v>17</v>
      </c>
      <c r="D3259" s="2" t="s">
        <v>18</v>
      </c>
      <c r="E3259" s="5">
        <v>-29563</v>
      </c>
      <c r="F3259" s="3" t="s">
        <v>1087</v>
      </c>
      <c r="G3259" s="3" t="s">
        <v>28</v>
      </c>
      <c r="H3259" s="2" t="s">
        <v>65</v>
      </c>
      <c r="I3259" s="2" t="s">
        <v>8040</v>
      </c>
      <c r="J3259" s="3" t="str">
        <f>HYPERLINK("https://www.boe.es/gazeta/dias/1819/01/21/pdfs/GMD-1819-9.pdf#page=8","Abrir facsímil")</f>
        <v>Abrir facsímil</v>
      </c>
      <c r="K3259" s="3" t="s">
        <v>67</v>
      </c>
    </row>
    <row r="3260" spans="1:11" ht="42" customHeight="1">
      <c r="A3260" s="2" t="s">
        <v>8041</v>
      </c>
      <c r="B3260" s="2" t="s">
        <v>8042</v>
      </c>
      <c r="C3260" s="2" t="s">
        <v>17</v>
      </c>
      <c r="D3260" s="2" t="s">
        <v>18</v>
      </c>
      <c r="E3260" s="5">
        <v>-29435</v>
      </c>
      <c r="F3260" s="3" t="s">
        <v>191</v>
      </c>
      <c r="G3260" s="3" t="s">
        <v>55</v>
      </c>
      <c r="H3260" s="2" t="s">
        <v>21</v>
      </c>
      <c r="I3260" s="2" t="s">
        <v>8043</v>
      </c>
      <c r="J3260" s="3" t="str">
        <f>HYPERLINK("https://www.boe.es/gazeta/dias/1819/05/29/pdfs/GMD-1819-64.pdf#page=7","Abrir facsímil")</f>
        <v>Abrir facsímil</v>
      </c>
      <c r="K3260" s="3" t="s">
        <v>23</v>
      </c>
    </row>
    <row r="3261" spans="1:11" ht="42" customHeight="1">
      <c r="A3261" s="2" t="s">
        <v>8044</v>
      </c>
      <c r="B3261" s="2" t="s">
        <v>8045</v>
      </c>
      <c r="C3261" s="2" t="s">
        <v>63</v>
      </c>
      <c r="D3261" s="2" t="s">
        <v>43</v>
      </c>
      <c r="E3261" s="5">
        <v>-29253</v>
      </c>
      <c r="F3261" s="3" t="s">
        <v>242</v>
      </c>
      <c r="G3261" s="3" t="s">
        <v>2986</v>
      </c>
      <c r="H3261" s="2" t="s">
        <v>65</v>
      </c>
      <c r="I3261" s="2" t="s">
        <v>8046</v>
      </c>
      <c r="J3261" s="3" t="str">
        <f>HYPERLINK("https://www.boe.es/gazeta/dias/1819/11/27/pdfs/GMD-1819-146.pdf#page=8","Abrir facsímil")</f>
        <v>Abrir facsímil</v>
      </c>
      <c r="K3261" s="3" t="s">
        <v>67</v>
      </c>
    </row>
    <row r="3262" spans="1:11" ht="42" customHeight="1">
      <c r="A3262" s="2" t="s">
        <v>8047</v>
      </c>
      <c r="B3262" s="2" t="s">
        <v>8048</v>
      </c>
      <c r="C3262" s="2" t="s">
        <v>215</v>
      </c>
      <c r="D3262" s="2" t="s">
        <v>18</v>
      </c>
      <c r="E3262" s="5">
        <v>-29320</v>
      </c>
      <c r="F3262" s="3" t="s">
        <v>690</v>
      </c>
      <c r="G3262" s="3" t="s">
        <v>55</v>
      </c>
      <c r="H3262" s="2" t="s">
        <v>65</v>
      </c>
      <c r="I3262" s="2" t="s">
        <v>8049</v>
      </c>
      <c r="J3262" s="3" t="str">
        <f>HYPERLINK("https://www.boe.es/gazeta/dias/1819/09/21/pdfs/GMD-1819-116.pdf#page=7","Abrir facsímil")</f>
        <v>Abrir facsímil</v>
      </c>
      <c r="K3262" s="3" t="s">
        <v>67</v>
      </c>
    </row>
    <row r="3263" spans="1:11" ht="42" customHeight="1">
      <c r="A3263" s="2" t="s">
        <v>8050</v>
      </c>
      <c r="B3263" s="2" t="s">
        <v>8051</v>
      </c>
      <c r="C3263" s="2" t="s">
        <v>80</v>
      </c>
      <c r="D3263" s="2" t="s">
        <v>81</v>
      </c>
      <c r="E3263" s="5">
        <v>-29260</v>
      </c>
      <c r="F3263" s="3" t="s">
        <v>93</v>
      </c>
      <c r="G3263" s="3" t="s">
        <v>1275</v>
      </c>
      <c r="H3263" s="2" t="s">
        <v>65</v>
      </c>
      <c r="I3263" s="2" t="s">
        <v>8052</v>
      </c>
      <c r="J3263" s="3" t="str">
        <f>HYPERLINK("https://www.boe.es/gazeta/dias/1819/11/20/pdfs/GMD-1819-143.pdf#page=10","Abrir facsímil")</f>
        <v>Abrir facsímil</v>
      </c>
      <c r="K3263" s="3" t="s">
        <v>67</v>
      </c>
    </row>
    <row r="3264" spans="1:11" ht="42" customHeight="1">
      <c r="A3264" s="2" t="s">
        <v>8053</v>
      </c>
      <c r="B3264" s="2" t="s">
        <v>8054</v>
      </c>
      <c r="C3264" s="2" t="s">
        <v>59</v>
      </c>
      <c r="D3264" s="2" t="s">
        <v>18</v>
      </c>
      <c r="E3264" s="5">
        <v>-29311</v>
      </c>
      <c r="F3264" s="3" t="s">
        <v>678</v>
      </c>
      <c r="G3264" s="3" t="s">
        <v>33</v>
      </c>
      <c r="H3264" s="2" t="s">
        <v>65</v>
      </c>
      <c r="I3264" s="2" t="s">
        <v>8055</v>
      </c>
      <c r="J3264" s="3" t="str">
        <f>HYPERLINK("https://www.boe.es/gazeta/dias/1819/09/30/pdfs/GMD-1819-120.pdf#page=6","Abrir facsímil")</f>
        <v>Abrir facsímil</v>
      </c>
      <c r="K3264" s="3" t="s">
        <v>67</v>
      </c>
    </row>
    <row r="3265" spans="1:11" ht="42" customHeight="1">
      <c r="A3265" s="2" t="s">
        <v>8056</v>
      </c>
      <c r="B3265" s="2" t="s">
        <v>8057</v>
      </c>
      <c r="C3265" s="2" t="s">
        <v>80</v>
      </c>
      <c r="D3265" s="2" t="s">
        <v>81</v>
      </c>
      <c r="E3265" s="5">
        <v>-29451</v>
      </c>
      <c r="F3265" s="3" t="s">
        <v>208</v>
      </c>
      <c r="G3265" s="3" t="s">
        <v>55</v>
      </c>
      <c r="H3265" s="2" t="s">
        <v>65</v>
      </c>
      <c r="I3265" s="2" t="s">
        <v>8058</v>
      </c>
      <c r="J3265" s="3" t="str">
        <f>HYPERLINK("https://www.boe.es/gazeta/dias/1819/05/13/pdfs/GMD-1819-57.pdf#page=7","Abrir facsímil")</f>
        <v>Abrir facsímil</v>
      </c>
      <c r="K3265" s="3" t="s">
        <v>67</v>
      </c>
    </row>
    <row r="3266" spans="1:11" ht="42" customHeight="1">
      <c r="A3266" s="2" t="s">
        <v>8059</v>
      </c>
      <c r="B3266" s="2" t="s">
        <v>8060</v>
      </c>
      <c r="C3266" s="2" t="s">
        <v>80</v>
      </c>
      <c r="D3266" s="2" t="s">
        <v>81</v>
      </c>
      <c r="E3266" s="5">
        <v>-29297</v>
      </c>
      <c r="F3266" s="3" t="s">
        <v>82</v>
      </c>
      <c r="G3266" s="3" t="s">
        <v>55</v>
      </c>
      <c r="H3266" s="2" t="s">
        <v>65</v>
      </c>
      <c r="I3266" s="2" t="s">
        <v>8061</v>
      </c>
      <c r="J3266" s="3" t="str">
        <f>HYPERLINK("https://www.boe.es/gazeta/dias/1819/10/14/pdfs/GMD-1819-126.pdf#page=7","Abrir facsímil")</f>
        <v>Abrir facsímil</v>
      </c>
      <c r="K3266" s="3" t="s">
        <v>67</v>
      </c>
    </row>
    <row r="3267" spans="1:11" ht="42" customHeight="1">
      <c r="A3267" s="2" t="s">
        <v>8062</v>
      </c>
      <c r="B3267" s="2" t="s">
        <v>8062</v>
      </c>
      <c r="C3267" s="2" t="s">
        <v>59</v>
      </c>
      <c r="D3267" s="2" t="s">
        <v>18</v>
      </c>
      <c r="E3267" s="5">
        <v>-29290</v>
      </c>
      <c r="F3267" s="3" t="s">
        <v>622</v>
      </c>
      <c r="G3267" s="3" t="s">
        <v>259</v>
      </c>
      <c r="H3267" s="2" t="s">
        <v>65</v>
      </c>
      <c r="I3267" s="2" t="s">
        <v>8063</v>
      </c>
      <c r="J3267" s="3" t="str">
        <f>HYPERLINK("https://www.boe.es/gazeta/dias/1819/10/21/pdfs/GMD-1819-129.pdf#page=2","Abrir facsímil")</f>
        <v>Abrir facsímil</v>
      </c>
      <c r="K3267" s="3" t="s">
        <v>67</v>
      </c>
    </row>
    <row r="3268" spans="1:11" ht="42" customHeight="1">
      <c r="A3268" s="2" t="s">
        <v>8064</v>
      </c>
      <c r="B3268" s="2" t="s">
        <v>8064</v>
      </c>
      <c r="C3268" s="2" t="s">
        <v>80</v>
      </c>
      <c r="D3268" s="2" t="s">
        <v>81</v>
      </c>
      <c r="E3268" s="5">
        <v>-29381</v>
      </c>
      <c r="F3268" s="3" t="s">
        <v>736</v>
      </c>
      <c r="G3268" s="3" t="s">
        <v>259</v>
      </c>
      <c r="H3268" s="2" t="s">
        <v>65</v>
      </c>
      <c r="I3268" s="2" t="s">
        <v>8065</v>
      </c>
      <c r="J3268" s="3" t="str">
        <f>HYPERLINK("https://www.boe.es/gazeta/dias/1819/07/22/pdfs/GMD-1819-88.pdf#page=2","Abrir facsímil")</f>
        <v>Abrir facsímil</v>
      </c>
      <c r="K3268" s="3" t="s">
        <v>67</v>
      </c>
    </row>
    <row r="3269" spans="1:11" ht="42" customHeight="1">
      <c r="A3269" s="2" t="s">
        <v>8066</v>
      </c>
      <c r="B3269" s="2" t="s">
        <v>8067</v>
      </c>
      <c r="C3269" s="2" t="s">
        <v>63</v>
      </c>
      <c r="D3269" s="2" t="s">
        <v>43</v>
      </c>
      <c r="E3269" s="5">
        <v>-29575</v>
      </c>
      <c r="F3269" s="3" t="s">
        <v>77</v>
      </c>
      <c r="G3269" s="3" t="s">
        <v>38</v>
      </c>
      <c r="H3269" s="2" t="s">
        <v>65</v>
      </c>
      <c r="I3269" s="2" t="s">
        <v>8068</v>
      </c>
      <c r="J3269" s="3" t="str">
        <f>HYPERLINK("https://www.boe.es/gazeta/dias/1819/01/09/pdfs/GMD-1819-4.pdf#page=5","Abrir facsímil")</f>
        <v>Abrir facsímil</v>
      </c>
      <c r="K3269" s="3" t="s">
        <v>67</v>
      </c>
    </row>
    <row r="3270" spans="1:11" ht="42" customHeight="1">
      <c r="A3270" s="2" t="s">
        <v>8069</v>
      </c>
      <c r="B3270" s="2" t="s">
        <v>8069</v>
      </c>
      <c r="C3270" s="2" t="s">
        <v>80</v>
      </c>
      <c r="D3270" s="2" t="s">
        <v>81</v>
      </c>
      <c r="E3270" s="5">
        <v>-29479</v>
      </c>
      <c r="F3270" s="3" t="s">
        <v>979</v>
      </c>
      <c r="G3270" s="3" t="s">
        <v>38</v>
      </c>
      <c r="H3270" s="2" t="s">
        <v>65</v>
      </c>
      <c r="I3270" s="2" t="s">
        <v>8070</v>
      </c>
      <c r="J3270" s="3" t="str">
        <f>HYPERLINK("https://www.boe.es/gazeta/dias/1819/04/15/pdfs/GMD-1819-45.pdf#page=5","Abrir facsímil")</f>
        <v>Abrir facsímil</v>
      </c>
      <c r="K3270" s="3" t="s">
        <v>67</v>
      </c>
    </row>
    <row r="3271" spans="1:11" ht="42" customHeight="1">
      <c r="A3271" s="2" t="s">
        <v>8071</v>
      </c>
      <c r="B3271" s="2" t="s">
        <v>8071</v>
      </c>
      <c r="C3271" s="2" t="s">
        <v>63</v>
      </c>
      <c r="D3271" s="2" t="s">
        <v>43</v>
      </c>
      <c r="E3271" s="5">
        <v>-29250</v>
      </c>
      <c r="F3271" s="3" t="s">
        <v>312</v>
      </c>
      <c r="G3271" s="3" t="s">
        <v>4391</v>
      </c>
      <c r="H3271" s="2" t="s">
        <v>65</v>
      </c>
      <c r="I3271" s="2" t="s">
        <v>8072</v>
      </c>
      <c r="J3271" s="3" t="str">
        <f>HYPERLINK("https://www.boe.es/gazeta/dias/1819/11/30/pdfs/GMD-1819-147.pdf#page=7","Abrir facsímil")</f>
        <v>Abrir facsímil</v>
      </c>
      <c r="K3271" s="3" t="s">
        <v>67</v>
      </c>
    </row>
    <row r="3272" spans="1:11" ht="42" customHeight="1">
      <c r="A3272" s="2" t="s">
        <v>8073</v>
      </c>
      <c r="B3272" s="2" t="s">
        <v>8074</v>
      </c>
      <c r="C3272" s="2" t="s">
        <v>26</v>
      </c>
      <c r="D3272" s="2" t="s">
        <v>18</v>
      </c>
      <c r="E3272" s="5">
        <v>-29516</v>
      </c>
      <c r="F3272" s="3" t="s">
        <v>137</v>
      </c>
      <c r="G3272" s="3" t="s">
        <v>456</v>
      </c>
      <c r="H3272" s="2" t="s">
        <v>65</v>
      </c>
      <c r="I3272" s="2" t="s">
        <v>8075</v>
      </c>
      <c r="J3272" s="3" t="str">
        <f>HYPERLINK("https://www.boe.es/gazeta/dias/1819/03/09/pdfs/GMD-1819-29.pdf#page=9","Abrir facsímil")</f>
        <v>Abrir facsímil</v>
      </c>
      <c r="K3272" s="3" t="s">
        <v>67</v>
      </c>
    </row>
    <row r="3273" spans="1:11" ht="42" customHeight="1">
      <c r="A3273" s="2" t="s">
        <v>8076</v>
      </c>
      <c r="B3273" s="2" t="s">
        <v>8077</v>
      </c>
      <c r="C3273" s="2" t="s">
        <v>26</v>
      </c>
      <c r="D3273" s="2" t="s">
        <v>18</v>
      </c>
      <c r="E3273" s="5">
        <v>-29311</v>
      </c>
      <c r="F3273" s="3" t="s">
        <v>678</v>
      </c>
      <c r="G3273" s="3" t="s">
        <v>33</v>
      </c>
      <c r="H3273" s="2" t="s">
        <v>65</v>
      </c>
      <c r="I3273" s="2" t="s">
        <v>8078</v>
      </c>
      <c r="J3273" s="3" t="str">
        <f>HYPERLINK("https://www.boe.es/gazeta/dias/1819/09/30/pdfs/GMD-1819-120.pdf#page=6","Abrir facsímil")</f>
        <v>Abrir facsímil</v>
      </c>
      <c r="K3273" s="3" t="s">
        <v>67</v>
      </c>
    </row>
    <row r="3274" spans="1:11" ht="42" customHeight="1">
      <c r="A3274" s="2" t="s">
        <v>8079</v>
      </c>
      <c r="B3274" s="2" t="s">
        <v>8080</v>
      </c>
      <c r="C3274" s="2" t="s">
        <v>80</v>
      </c>
      <c r="D3274" s="2" t="s">
        <v>81</v>
      </c>
      <c r="E3274" s="5">
        <v>-29575</v>
      </c>
      <c r="F3274" s="3" t="s">
        <v>77</v>
      </c>
      <c r="G3274" s="3" t="s">
        <v>38</v>
      </c>
      <c r="H3274" s="2" t="s">
        <v>65</v>
      </c>
      <c r="I3274" s="2" t="s">
        <v>8081</v>
      </c>
      <c r="J3274" s="3" t="str">
        <f>HYPERLINK("https://www.boe.es/gazeta/dias/1819/01/09/pdfs/GMD-1819-4.pdf#page=5","Abrir facsímil")</f>
        <v>Abrir facsímil</v>
      </c>
      <c r="K3274" s="3" t="s">
        <v>67</v>
      </c>
    </row>
    <row r="3275" spans="1:11" ht="42" customHeight="1">
      <c r="A3275" s="2" t="s">
        <v>8082</v>
      </c>
      <c r="B3275" s="2" t="s">
        <v>8083</v>
      </c>
      <c r="C3275" s="2" t="s">
        <v>59</v>
      </c>
      <c r="D3275" s="2" t="s">
        <v>18</v>
      </c>
      <c r="E3275" s="5">
        <v>-29285</v>
      </c>
      <c r="F3275" s="3" t="s">
        <v>578</v>
      </c>
      <c r="G3275" s="3" t="s">
        <v>28</v>
      </c>
      <c r="H3275" s="2" t="s">
        <v>65</v>
      </c>
      <c r="I3275" s="2" t="s">
        <v>8084</v>
      </c>
      <c r="J3275" s="3" t="str">
        <f>HYPERLINK("https://www.boe.es/gazeta/dias/1819/10/26/pdfs/GMD-1819-132.pdf#page=8","Abrir facsímil")</f>
        <v>Abrir facsímil</v>
      </c>
      <c r="K3275" s="3" t="s">
        <v>67</v>
      </c>
    </row>
    <row r="3276" spans="1:11" ht="42" customHeight="1">
      <c r="A3276" s="2" t="s">
        <v>8085</v>
      </c>
      <c r="B3276" s="2" t="s">
        <v>8086</v>
      </c>
      <c r="C3276" s="2" t="s">
        <v>80</v>
      </c>
      <c r="D3276" s="2" t="s">
        <v>81</v>
      </c>
      <c r="E3276" s="5">
        <v>-29488</v>
      </c>
      <c r="F3276" s="3" t="s">
        <v>27</v>
      </c>
      <c r="G3276" s="3" t="s">
        <v>55</v>
      </c>
      <c r="H3276" s="2" t="s">
        <v>65</v>
      </c>
      <c r="I3276" s="2" t="s">
        <v>8087</v>
      </c>
      <c r="J3276" s="3" t="str">
        <f>HYPERLINK("https://www.boe.es/gazeta/dias/1819/04/06/pdfs/GMD-1819-41.pdf#page=7","Abrir facsímil")</f>
        <v>Abrir facsímil</v>
      </c>
      <c r="K3276" s="3" t="s">
        <v>67</v>
      </c>
    </row>
    <row r="3277" spans="1:11" ht="42" customHeight="1">
      <c r="A3277" s="2" t="s">
        <v>8088</v>
      </c>
      <c r="B3277" s="2" t="s">
        <v>8089</v>
      </c>
      <c r="C3277" s="2" t="s">
        <v>63</v>
      </c>
      <c r="D3277" s="2" t="s">
        <v>43</v>
      </c>
      <c r="E3277" s="5">
        <v>-29281</v>
      </c>
      <c r="F3277" s="3" t="s">
        <v>19</v>
      </c>
      <c r="G3277" s="3" t="s">
        <v>456</v>
      </c>
      <c r="H3277" s="2" t="s">
        <v>65</v>
      </c>
      <c r="I3277" s="2" t="s">
        <v>8090</v>
      </c>
      <c r="J3277" s="3" t="str">
        <f>HYPERLINK("https://www.boe.es/gazeta/dias/1819/10/30/pdfs/GMD-1819-134.pdf#page=9","Abrir facsímil")</f>
        <v>Abrir facsímil</v>
      </c>
      <c r="K3277" s="3" t="s">
        <v>67</v>
      </c>
    </row>
    <row r="3278" spans="1:11" ht="42" customHeight="1">
      <c r="A3278" s="2" t="s">
        <v>8091</v>
      </c>
      <c r="B3278" s="2" t="s">
        <v>8092</v>
      </c>
      <c r="C3278" s="2" t="s">
        <v>215</v>
      </c>
      <c r="D3278" s="2" t="s">
        <v>18</v>
      </c>
      <c r="E3278" s="5">
        <v>-29549</v>
      </c>
      <c r="F3278" s="3" t="s">
        <v>124</v>
      </c>
      <c r="G3278" s="3" t="s">
        <v>28</v>
      </c>
      <c r="H3278" s="2" t="s">
        <v>65</v>
      </c>
      <c r="I3278" s="2" t="s">
        <v>8093</v>
      </c>
      <c r="J3278" s="3" t="str">
        <f>HYPERLINK("https://www.boe.es/gazeta/dias/1819/02/04/pdfs/GMD-1819-15.pdf#page=8","Abrir facsímil")</f>
        <v>Abrir facsímil</v>
      </c>
      <c r="K3278" s="3" t="s">
        <v>67</v>
      </c>
    </row>
    <row r="3279" spans="1:11" ht="42" customHeight="1">
      <c r="A3279" s="2" t="s">
        <v>8094</v>
      </c>
      <c r="B3279" s="2" t="s">
        <v>8095</v>
      </c>
      <c r="C3279" s="2" t="s">
        <v>59</v>
      </c>
      <c r="D3279" s="2" t="s">
        <v>18</v>
      </c>
      <c r="E3279" s="5">
        <v>-29549</v>
      </c>
      <c r="F3279" s="3" t="s">
        <v>124</v>
      </c>
      <c r="G3279" s="3" t="s">
        <v>28</v>
      </c>
      <c r="H3279" s="2" t="s">
        <v>65</v>
      </c>
      <c r="I3279" s="2" t="s">
        <v>8096</v>
      </c>
      <c r="J3279" s="3" t="str">
        <f>HYPERLINK("https://www.boe.es/gazeta/dias/1819/02/04/pdfs/GMD-1819-15.pdf#page=8","Abrir facsímil")</f>
        <v>Abrir facsímil</v>
      </c>
      <c r="K3279" s="3" t="s">
        <v>67</v>
      </c>
    </row>
    <row r="3280" spans="1:11" ht="42" customHeight="1">
      <c r="A3280" s="2" t="s">
        <v>8097</v>
      </c>
      <c r="B3280" s="2" t="s">
        <v>8098</v>
      </c>
      <c r="C3280" s="2" t="s">
        <v>59</v>
      </c>
      <c r="D3280" s="2" t="s">
        <v>18</v>
      </c>
      <c r="E3280" s="5">
        <v>-29493</v>
      </c>
      <c r="F3280" s="3" t="s">
        <v>404</v>
      </c>
      <c r="G3280" s="3" t="s">
        <v>55</v>
      </c>
      <c r="H3280" s="2" t="s">
        <v>65</v>
      </c>
      <c r="I3280" s="2" t="s">
        <v>8099</v>
      </c>
      <c r="J3280" s="3" t="str">
        <f>HYPERLINK("https://www.boe.es/gazeta/dias/1819/04/01/pdfs/GMD-1819-39.pdf#page=7","Abrir facsímil")</f>
        <v>Abrir facsímil</v>
      </c>
      <c r="K3280" s="3" t="s">
        <v>67</v>
      </c>
    </row>
    <row r="3281" spans="1:11" ht="42" customHeight="1">
      <c r="A3281" s="2" t="s">
        <v>8100</v>
      </c>
      <c r="B3281" s="2" t="s">
        <v>8101</v>
      </c>
      <c r="C3281" s="2" t="s">
        <v>26</v>
      </c>
      <c r="D3281" s="2" t="s">
        <v>18</v>
      </c>
      <c r="E3281" s="5">
        <v>-29400</v>
      </c>
      <c r="F3281" s="3" t="s">
        <v>2181</v>
      </c>
      <c r="G3281" s="3" t="s">
        <v>3943</v>
      </c>
      <c r="H3281" s="2" t="s">
        <v>65</v>
      </c>
      <c r="I3281" s="2" t="s">
        <v>8102</v>
      </c>
      <c r="J3281" s="3" t="str">
        <f>HYPERLINK("https://www.boe.es/gazeta/dias/1819/07/03/pdfs/GMD-1819-80.pdf#page=6","Abrir facsímil")</f>
        <v>Abrir facsímil</v>
      </c>
      <c r="K3281" s="3" t="s">
        <v>67</v>
      </c>
    </row>
    <row r="3282" spans="1:11" ht="42" customHeight="1">
      <c r="A3282" s="2" t="s">
        <v>8103</v>
      </c>
      <c r="B3282" s="2" t="s">
        <v>8104</v>
      </c>
      <c r="C3282" s="2" t="s">
        <v>80</v>
      </c>
      <c r="D3282" s="2" t="s">
        <v>81</v>
      </c>
      <c r="E3282" s="5">
        <v>-29346</v>
      </c>
      <c r="F3282" s="3" t="s">
        <v>718</v>
      </c>
      <c r="G3282" s="3" t="s">
        <v>33</v>
      </c>
      <c r="H3282" s="2" t="s">
        <v>65</v>
      </c>
      <c r="I3282" s="2" t="s">
        <v>8105</v>
      </c>
      <c r="J3282" s="3" t="str">
        <f>HYPERLINK("https://www.boe.es/gazeta/dias/1819/08/26/pdfs/GMD-1819-103.pdf#page=6","Abrir facsímil")</f>
        <v>Abrir facsímil</v>
      </c>
      <c r="K3282" s="3" t="s">
        <v>67</v>
      </c>
    </row>
    <row r="3283" spans="1:11" ht="42" customHeight="1">
      <c r="A3283" s="2" t="s">
        <v>8106</v>
      </c>
      <c r="B3283" s="2" t="s">
        <v>8107</v>
      </c>
      <c r="C3283" s="2" t="s">
        <v>26</v>
      </c>
      <c r="D3283" s="2" t="s">
        <v>18</v>
      </c>
      <c r="E3283" s="5">
        <v>-29505</v>
      </c>
      <c r="F3283" s="3" t="s">
        <v>597</v>
      </c>
      <c r="G3283" s="3" t="s">
        <v>5848</v>
      </c>
      <c r="H3283" s="2" t="s">
        <v>65</v>
      </c>
      <c r="I3283" s="2" t="s">
        <v>8108</v>
      </c>
      <c r="J3283" s="3" t="str">
        <f>HYPERLINK("https://www.boe.es/gazeta/dias/1819/03/20/pdfs/GMD-1819-34.pdf#page=4","Abrir facsímil")</f>
        <v>Abrir facsímil</v>
      </c>
      <c r="K3283" s="3" t="s">
        <v>67</v>
      </c>
    </row>
    <row r="3284" spans="1:11" ht="42" customHeight="1">
      <c r="A3284" s="2" t="s">
        <v>8109</v>
      </c>
      <c r="B3284" s="2" t="s">
        <v>8110</v>
      </c>
      <c r="C3284" s="2" t="s">
        <v>80</v>
      </c>
      <c r="D3284" s="2" t="s">
        <v>81</v>
      </c>
      <c r="E3284" s="5">
        <v>-29575</v>
      </c>
      <c r="F3284" s="3" t="s">
        <v>77</v>
      </c>
      <c r="G3284" s="3" t="s">
        <v>38</v>
      </c>
      <c r="H3284" s="2" t="s">
        <v>65</v>
      </c>
      <c r="I3284" s="2" t="s">
        <v>8111</v>
      </c>
      <c r="J3284" s="3" t="str">
        <f>HYPERLINK("https://www.boe.es/gazeta/dias/1819/01/09/pdfs/GMD-1819-4.pdf#page=5","Abrir facsímil")</f>
        <v>Abrir facsímil</v>
      </c>
      <c r="K3284" s="3" t="s">
        <v>67</v>
      </c>
    </row>
    <row r="3285" spans="1:11" ht="42" customHeight="1">
      <c r="A3285" s="2" t="s">
        <v>8109</v>
      </c>
      <c r="B3285" s="2" t="s">
        <v>8110</v>
      </c>
      <c r="C3285" s="2" t="s">
        <v>80</v>
      </c>
      <c r="D3285" s="2" t="s">
        <v>81</v>
      </c>
      <c r="E3285" s="5">
        <v>-29376</v>
      </c>
      <c r="F3285" s="3" t="s">
        <v>332</v>
      </c>
      <c r="G3285" s="3" t="s">
        <v>2560</v>
      </c>
      <c r="H3285" s="2" t="s">
        <v>65</v>
      </c>
      <c r="I3285" s="2" t="s">
        <v>8112</v>
      </c>
      <c r="J3285" s="3" t="str">
        <f>HYPERLINK("https://www.boe.es/gazeta/dias/1819/07/27/pdfs/GMD-1819-90.pdf#page=7","Abrir facsímil")</f>
        <v>Abrir facsímil</v>
      </c>
      <c r="K3285" s="3" t="s">
        <v>67</v>
      </c>
    </row>
    <row r="3286" spans="1:11" ht="42" customHeight="1">
      <c r="A3286" s="2" t="s">
        <v>8113</v>
      </c>
      <c r="B3286" s="2" t="s">
        <v>8114</v>
      </c>
      <c r="C3286" s="2" t="s">
        <v>59</v>
      </c>
      <c r="D3286" s="2" t="s">
        <v>18</v>
      </c>
      <c r="E3286" s="5">
        <v>-29292</v>
      </c>
      <c r="F3286" s="3" t="s">
        <v>875</v>
      </c>
      <c r="G3286" s="3" t="s">
        <v>28</v>
      </c>
      <c r="H3286" s="2" t="s">
        <v>65</v>
      </c>
      <c r="I3286" s="2" t="s">
        <v>8115</v>
      </c>
      <c r="J3286" s="3" t="str">
        <f>HYPERLINK("https://www.boe.es/gazeta/dias/1819/10/19/pdfs/GMD-1819-128.pdf#page=8","Abrir facsímil")</f>
        <v>Abrir facsímil</v>
      </c>
      <c r="K3286" s="3" t="s">
        <v>67</v>
      </c>
    </row>
    <row r="3287" spans="1:11" ht="42" customHeight="1">
      <c r="A3287" s="2" t="s">
        <v>8116</v>
      </c>
      <c r="B3287" s="2" t="s">
        <v>8117</v>
      </c>
      <c r="C3287" s="2" t="s">
        <v>59</v>
      </c>
      <c r="D3287" s="2" t="s">
        <v>18</v>
      </c>
      <c r="E3287" s="5">
        <v>-29425</v>
      </c>
      <c r="F3287" s="3" t="s">
        <v>110</v>
      </c>
      <c r="G3287" s="3" t="s">
        <v>55</v>
      </c>
      <c r="H3287" s="2" t="s">
        <v>65</v>
      </c>
      <c r="I3287" s="2" t="s">
        <v>8118</v>
      </c>
      <c r="J3287" s="3" t="str">
        <f>HYPERLINK("https://www.boe.es/gazeta/dias/1819/06/08/pdfs/GMD-1819-68.pdf#page=7","Abrir facsímil")</f>
        <v>Abrir facsímil</v>
      </c>
      <c r="K3287" s="3" t="s">
        <v>67</v>
      </c>
    </row>
    <row r="3288" spans="1:11" ht="42" customHeight="1">
      <c r="A3288" s="2" t="s">
        <v>8119</v>
      </c>
      <c r="B3288" s="2" t="s">
        <v>8120</v>
      </c>
      <c r="C3288" s="2" t="s">
        <v>17</v>
      </c>
      <c r="D3288" s="2" t="s">
        <v>18</v>
      </c>
      <c r="E3288" s="5">
        <v>-29502</v>
      </c>
      <c r="F3288" s="3" t="s">
        <v>86</v>
      </c>
      <c r="G3288" s="3" t="s">
        <v>28</v>
      </c>
      <c r="H3288" s="2" t="s">
        <v>65</v>
      </c>
      <c r="I3288" s="2" t="s">
        <v>8121</v>
      </c>
      <c r="J3288" s="3" t="str">
        <f>HYPERLINK("https://www.boe.es/gazeta/dias/1819/03/23/pdfs/GMD-1819-35.pdf#page=8","Abrir facsímil")</f>
        <v>Abrir facsímil</v>
      </c>
      <c r="K3288" s="3" t="s">
        <v>67</v>
      </c>
    </row>
    <row r="3289" spans="1:11" ht="42" customHeight="1">
      <c r="A3289" s="2" t="s">
        <v>8122</v>
      </c>
      <c r="B3289" s="2" t="s">
        <v>8123</v>
      </c>
      <c r="C3289" s="2" t="s">
        <v>136</v>
      </c>
      <c r="D3289" s="2" t="s">
        <v>18</v>
      </c>
      <c r="E3289" s="5">
        <v>-29582</v>
      </c>
      <c r="F3289" s="3" t="s">
        <v>376</v>
      </c>
      <c r="G3289" s="3" t="s">
        <v>702</v>
      </c>
      <c r="H3289" s="2" t="s">
        <v>65</v>
      </c>
      <c r="I3289" s="2" t="s">
        <v>8124</v>
      </c>
      <c r="J3289" s="3" t="str">
        <f>HYPERLINK("https://www.boe.es/gazeta/dias/1819/01/02/pdfs/GMD-1819-1.pdf#page=7","Abrir facsímil")</f>
        <v>Abrir facsímil</v>
      </c>
      <c r="K3289" s="3" t="s">
        <v>67</v>
      </c>
    </row>
    <row r="3290" spans="1:11" ht="42" customHeight="1">
      <c r="A3290" s="2" t="s">
        <v>8125</v>
      </c>
      <c r="B3290" s="2" t="s">
        <v>8126</v>
      </c>
      <c r="C3290" s="2" t="s">
        <v>215</v>
      </c>
      <c r="D3290" s="2" t="s">
        <v>18</v>
      </c>
      <c r="E3290" s="5">
        <v>-29542</v>
      </c>
      <c r="F3290" s="3" t="s">
        <v>607</v>
      </c>
      <c r="G3290" s="3" t="s">
        <v>20</v>
      </c>
      <c r="H3290" s="2" t="s">
        <v>65</v>
      </c>
      <c r="I3290" s="2" t="s">
        <v>8127</v>
      </c>
      <c r="J3290" s="3" t="str">
        <f>HYPERLINK("https://www.boe.es/gazeta/dias/1819/02/11/pdfs/GMD-1819-18.pdf#page=10","Abrir facsímil")</f>
        <v>Abrir facsímil</v>
      </c>
      <c r="K3290" s="3" t="s">
        <v>67</v>
      </c>
    </row>
    <row r="3291" spans="1:11" ht="42" customHeight="1">
      <c r="A3291" s="2" t="s">
        <v>8128</v>
      </c>
      <c r="B3291" s="2" t="s">
        <v>8129</v>
      </c>
      <c r="C3291" s="2" t="s">
        <v>63</v>
      </c>
      <c r="D3291" s="2" t="s">
        <v>454</v>
      </c>
      <c r="E3291" s="5">
        <v>-29287</v>
      </c>
      <c r="F3291" s="3" t="s">
        <v>455</v>
      </c>
      <c r="G3291" s="3" t="s">
        <v>456</v>
      </c>
      <c r="H3291" s="2" t="s">
        <v>65</v>
      </c>
      <c r="I3291" s="2" t="s">
        <v>8130</v>
      </c>
      <c r="J3291" s="3" t="str">
        <f>HYPERLINK("https://www.boe.es/gazeta/dias/1819/10/24/pdfs/GMD-1819-131E.pdf#page=9","Abrir facsímil")</f>
        <v>Abrir facsímil</v>
      </c>
      <c r="K3291" s="3" t="s">
        <v>67</v>
      </c>
    </row>
    <row r="3292" spans="1:11" ht="42" customHeight="1">
      <c r="A3292" s="2" t="s">
        <v>8131</v>
      </c>
      <c r="B3292" s="2" t="s">
        <v>8132</v>
      </c>
      <c r="C3292" s="2" t="s">
        <v>63</v>
      </c>
      <c r="D3292" s="2" t="s">
        <v>43</v>
      </c>
      <c r="E3292" s="5">
        <v>-29582</v>
      </c>
      <c r="F3292" s="3" t="s">
        <v>376</v>
      </c>
      <c r="G3292" s="3" t="s">
        <v>2206</v>
      </c>
      <c r="H3292" s="2" t="s">
        <v>65</v>
      </c>
      <c r="I3292" s="2" t="s">
        <v>8133</v>
      </c>
      <c r="J3292" s="3" t="str">
        <f>HYPERLINK("https://www.boe.es/gazeta/dias/1819/01/02/pdfs/GMD-1819-1.pdf#page=4","Abrir facsímil")</f>
        <v>Abrir facsímil</v>
      </c>
      <c r="K3292" s="3" t="s">
        <v>67</v>
      </c>
    </row>
    <row r="3293" spans="1:11" ht="42" customHeight="1">
      <c r="A3293" s="2" t="s">
        <v>8134</v>
      </c>
      <c r="B3293" s="2" t="s">
        <v>8135</v>
      </c>
      <c r="C3293" s="2" t="s">
        <v>80</v>
      </c>
      <c r="D3293" s="2" t="s">
        <v>81</v>
      </c>
      <c r="E3293" s="5">
        <v>-29316</v>
      </c>
      <c r="F3293" s="3" t="s">
        <v>166</v>
      </c>
      <c r="G3293" s="3" t="s">
        <v>296</v>
      </c>
      <c r="H3293" s="2" t="s">
        <v>65</v>
      </c>
      <c r="I3293" s="2" t="s">
        <v>8136</v>
      </c>
      <c r="J3293" s="3" t="str">
        <f>HYPERLINK("https://www.boe.es/gazeta/dias/1819/09/25/pdfs/GMD-1819-118.pdf#page=4","Abrir facsímil")</f>
        <v>Abrir facsímil</v>
      </c>
      <c r="K3293" s="3" t="s">
        <v>67</v>
      </c>
    </row>
    <row r="3294" spans="1:11" ht="42" customHeight="1">
      <c r="A3294" s="2" t="s">
        <v>8137</v>
      </c>
      <c r="B3294" s="2" t="s">
        <v>8138</v>
      </c>
      <c r="C3294" s="2" t="s">
        <v>80</v>
      </c>
      <c r="D3294" s="2" t="s">
        <v>81</v>
      </c>
      <c r="E3294" s="5">
        <v>-29572</v>
      </c>
      <c r="F3294" s="3" t="s">
        <v>589</v>
      </c>
      <c r="G3294" s="3" t="s">
        <v>2934</v>
      </c>
      <c r="H3294" s="2" t="s">
        <v>65</v>
      </c>
      <c r="I3294" s="2" t="s">
        <v>8139</v>
      </c>
      <c r="J3294" s="3" t="str">
        <f>HYPERLINK("https://www.boe.es/gazeta/dias/1819/01/12/pdfs/GMD-1819-5.pdf#page=5","Abrir facsímil")</f>
        <v>Abrir facsímil</v>
      </c>
      <c r="K3294" s="3" t="s">
        <v>67</v>
      </c>
    </row>
    <row r="3295" spans="1:11" ht="42" customHeight="1">
      <c r="A3295" s="2" t="s">
        <v>8137</v>
      </c>
      <c r="B3295" s="2" t="s">
        <v>8138</v>
      </c>
      <c r="C3295" s="2" t="s">
        <v>246</v>
      </c>
      <c r="D3295" s="2" t="s">
        <v>18</v>
      </c>
      <c r="E3295" s="5">
        <v>-29572</v>
      </c>
      <c r="F3295" s="3" t="s">
        <v>589</v>
      </c>
      <c r="G3295" s="3" t="s">
        <v>33</v>
      </c>
      <c r="H3295" s="2" t="s">
        <v>65</v>
      </c>
      <c r="I3295" s="2" t="s">
        <v>8140</v>
      </c>
      <c r="J3295" s="3" t="str">
        <f>HYPERLINK("https://www.boe.es/gazeta/dias/1819/01/12/pdfs/GMD-1819-5.pdf#page=6","Abrir facsímil")</f>
        <v>Abrir facsímil</v>
      </c>
      <c r="K3295" s="3" t="s">
        <v>67</v>
      </c>
    </row>
    <row r="3296" spans="1:11" ht="42" customHeight="1">
      <c r="A3296" s="2" t="s">
        <v>8141</v>
      </c>
      <c r="B3296" s="2" t="s">
        <v>8141</v>
      </c>
      <c r="C3296" s="2" t="s">
        <v>26</v>
      </c>
      <c r="D3296" s="2" t="s">
        <v>18</v>
      </c>
      <c r="E3296" s="5">
        <v>-29484</v>
      </c>
      <c r="F3296" s="3" t="s">
        <v>295</v>
      </c>
      <c r="G3296" s="3" t="s">
        <v>239</v>
      </c>
      <c r="H3296" s="2" t="s">
        <v>65</v>
      </c>
      <c r="I3296" s="2" t="s">
        <v>8142</v>
      </c>
      <c r="J3296" s="3" t="str">
        <f>HYPERLINK("https://www.boe.es/gazeta/dias/1819/04/10/pdfs/GMD-1819-43.pdf#page=1","Abrir facsímil")</f>
        <v>Abrir facsímil</v>
      </c>
      <c r="K3296" s="3" t="s">
        <v>67</v>
      </c>
    </row>
    <row r="3297" spans="1:11" ht="42" customHeight="1">
      <c r="A3297" s="2" t="s">
        <v>8143</v>
      </c>
      <c r="B3297" s="2" t="s">
        <v>8143</v>
      </c>
      <c r="C3297" s="2" t="s">
        <v>59</v>
      </c>
      <c r="D3297" s="2" t="s">
        <v>18</v>
      </c>
      <c r="E3297" s="5">
        <v>-29288</v>
      </c>
      <c r="F3297" s="3" t="s">
        <v>334</v>
      </c>
      <c r="G3297" s="3" t="s">
        <v>33</v>
      </c>
      <c r="H3297" s="2" t="s">
        <v>65</v>
      </c>
      <c r="I3297" s="2" t="s">
        <v>8144</v>
      </c>
      <c r="J3297" s="3" t="str">
        <f>HYPERLINK("https://www.boe.es/gazeta/dias/1819/10/23/pdfs/GMD-1819-130.pdf#page=6","Abrir facsímil")</f>
        <v>Abrir facsímil</v>
      </c>
      <c r="K3297" s="3" t="s">
        <v>67</v>
      </c>
    </row>
    <row r="3298" spans="1:11" ht="42" customHeight="1">
      <c r="A3298" s="2" t="s">
        <v>8145</v>
      </c>
      <c r="B3298" s="2" t="s">
        <v>8145</v>
      </c>
      <c r="C3298" s="2" t="s">
        <v>80</v>
      </c>
      <c r="D3298" s="2" t="s">
        <v>81</v>
      </c>
      <c r="E3298" s="5">
        <v>-29577</v>
      </c>
      <c r="F3298" s="3" t="s">
        <v>1008</v>
      </c>
      <c r="G3298" s="3" t="s">
        <v>259</v>
      </c>
      <c r="H3298" s="2" t="s">
        <v>65</v>
      </c>
      <c r="I3298" s="2" t="s">
        <v>8146</v>
      </c>
      <c r="J3298" s="3" t="str">
        <f>HYPERLINK("https://www.boe.es/gazeta/dias/1819/01/07/pdfs/GMD-1819-3.pdf#page=2","Abrir facsímil")</f>
        <v>Abrir facsímil</v>
      </c>
      <c r="K3298" s="3" t="s">
        <v>67</v>
      </c>
    </row>
    <row r="3299" spans="1:11" ht="42" customHeight="1">
      <c r="A3299" s="2" t="s">
        <v>8145</v>
      </c>
      <c r="B3299" s="2" t="s">
        <v>8145</v>
      </c>
      <c r="C3299" s="2" t="s">
        <v>80</v>
      </c>
      <c r="D3299" s="2" t="s">
        <v>81</v>
      </c>
      <c r="E3299" s="5">
        <v>-29577</v>
      </c>
      <c r="F3299" s="3" t="s">
        <v>1008</v>
      </c>
      <c r="G3299" s="3" t="s">
        <v>102</v>
      </c>
      <c r="H3299" s="2" t="s">
        <v>65</v>
      </c>
      <c r="I3299" s="2" t="s">
        <v>8147</v>
      </c>
      <c r="J3299" s="3" t="str">
        <f>HYPERLINK("https://www.boe.es/gazeta/dias/1819/01/07/pdfs/GMD-1819-3.pdf#page=3","Abrir facsímil")</f>
        <v>Abrir facsímil</v>
      </c>
      <c r="K3299" s="3" t="s">
        <v>67</v>
      </c>
    </row>
    <row r="3300" spans="1:11" ht="42" customHeight="1">
      <c r="A3300" s="2" t="s">
        <v>8145</v>
      </c>
      <c r="B3300" s="2" t="s">
        <v>8145</v>
      </c>
      <c r="C3300" s="2" t="s">
        <v>80</v>
      </c>
      <c r="D3300" s="2" t="s">
        <v>81</v>
      </c>
      <c r="E3300" s="5">
        <v>-29530</v>
      </c>
      <c r="F3300" s="3" t="s">
        <v>202</v>
      </c>
      <c r="G3300" s="3" t="s">
        <v>102</v>
      </c>
      <c r="H3300" s="2" t="s">
        <v>65</v>
      </c>
      <c r="I3300" s="2" t="s">
        <v>8148</v>
      </c>
      <c r="J3300" s="3" t="str">
        <f>HYPERLINK("https://www.boe.es/gazeta/dias/1819/02/23/pdfs/GMD-1819-23.pdf#page=3","Abrir facsímil")</f>
        <v>Abrir facsímil</v>
      </c>
      <c r="K3300" s="3" t="s">
        <v>67</v>
      </c>
    </row>
    <row r="3301" spans="1:11" ht="42" customHeight="1">
      <c r="A3301" s="2" t="s">
        <v>8145</v>
      </c>
      <c r="B3301" s="2" t="s">
        <v>8145</v>
      </c>
      <c r="C3301" s="2" t="s">
        <v>80</v>
      </c>
      <c r="D3301" s="2" t="s">
        <v>81</v>
      </c>
      <c r="E3301" s="5">
        <v>-29243</v>
      </c>
      <c r="F3301" s="3" t="s">
        <v>2099</v>
      </c>
      <c r="G3301" s="3" t="s">
        <v>296</v>
      </c>
      <c r="H3301" s="2" t="s">
        <v>65</v>
      </c>
      <c r="I3301" s="2" t="s">
        <v>8149</v>
      </c>
      <c r="J3301" s="3" t="str">
        <f>HYPERLINK("https://www.boe.es/gazeta/dias/1819/12/07/pdfs/GMD-1819-150.pdf#page=4","Abrir facsímil")</f>
        <v>Abrir facsímil</v>
      </c>
      <c r="K3301" s="3" t="s">
        <v>67</v>
      </c>
    </row>
    <row r="3302" spans="1:11" ht="42" customHeight="1">
      <c r="A3302" s="2" t="s">
        <v>8150</v>
      </c>
      <c r="B3302" s="2" t="s">
        <v>8151</v>
      </c>
      <c r="C3302" s="2" t="s">
        <v>136</v>
      </c>
      <c r="D3302" s="2" t="s">
        <v>18</v>
      </c>
      <c r="E3302" s="5">
        <v>-29502</v>
      </c>
      <c r="F3302" s="3" t="s">
        <v>86</v>
      </c>
      <c r="G3302" s="3" t="s">
        <v>28</v>
      </c>
      <c r="H3302" s="2" t="s">
        <v>65</v>
      </c>
      <c r="I3302" s="2" t="s">
        <v>8152</v>
      </c>
      <c r="J3302" s="3" t="str">
        <f>HYPERLINK("https://www.boe.es/gazeta/dias/1819/03/23/pdfs/GMD-1819-35.pdf#page=8","Abrir facsímil")</f>
        <v>Abrir facsímil</v>
      </c>
      <c r="K3302" s="3" t="s">
        <v>67</v>
      </c>
    </row>
    <row r="3303" spans="1:11" ht="42" customHeight="1">
      <c r="A3303" s="2" t="s">
        <v>8153</v>
      </c>
      <c r="B3303" s="2" t="s">
        <v>8153</v>
      </c>
      <c r="C3303" s="2" t="s">
        <v>63</v>
      </c>
      <c r="D3303" s="2" t="s">
        <v>43</v>
      </c>
      <c r="E3303" s="5">
        <v>-29355</v>
      </c>
      <c r="F3303" s="3" t="s">
        <v>347</v>
      </c>
      <c r="G3303" s="3" t="s">
        <v>102</v>
      </c>
      <c r="H3303" s="2" t="s">
        <v>65</v>
      </c>
      <c r="I3303" s="2" t="s">
        <v>8154</v>
      </c>
      <c r="J3303" s="3" t="str">
        <f>HYPERLINK("https://www.boe.es/gazeta/dias/1819/08/17/pdfs/GMD-1819-99.pdf#page=3","Abrir facsímil")</f>
        <v>Abrir facsímil</v>
      </c>
      <c r="K3303" s="3" t="s">
        <v>67</v>
      </c>
    </row>
    <row r="3304" spans="1:11" ht="42" customHeight="1">
      <c r="A3304" s="2" t="s">
        <v>8155</v>
      </c>
      <c r="B3304" s="2" t="s">
        <v>8155</v>
      </c>
      <c r="C3304" s="2" t="s">
        <v>80</v>
      </c>
      <c r="D3304" s="2" t="s">
        <v>81</v>
      </c>
      <c r="E3304" s="5">
        <v>-29456</v>
      </c>
      <c r="F3304" s="3" t="s">
        <v>468</v>
      </c>
      <c r="G3304" s="3" t="s">
        <v>8156</v>
      </c>
      <c r="H3304" s="2" t="s">
        <v>65</v>
      </c>
      <c r="I3304" s="2" t="s">
        <v>8157</v>
      </c>
      <c r="J3304" s="3" t="str">
        <f>HYPERLINK("https://www.boe.es/gazeta/dias/1819/05/08/pdfs/GMD-1819-55.pdf#page=4","Abrir facsímil")</f>
        <v>Abrir facsímil</v>
      </c>
      <c r="K3304" s="3" t="s">
        <v>67</v>
      </c>
    </row>
    <row r="3305" spans="1:11" ht="42" customHeight="1">
      <c r="A3305" s="2" t="s">
        <v>8155</v>
      </c>
      <c r="B3305" s="2" t="s">
        <v>8155</v>
      </c>
      <c r="C3305" s="2" t="s">
        <v>80</v>
      </c>
      <c r="D3305" s="2" t="s">
        <v>81</v>
      </c>
      <c r="E3305" s="5">
        <v>-29456</v>
      </c>
      <c r="F3305" s="3" t="s">
        <v>468</v>
      </c>
      <c r="G3305" s="3" t="s">
        <v>38</v>
      </c>
      <c r="H3305" s="2" t="s">
        <v>65</v>
      </c>
      <c r="I3305" s="2" t="s">
        <v>8158</v>
      </c>
      <c r="J3305" s="3" t="str">
        <f>HYPERLINK("https://www.boe.es/gazeta/dias/1819/05/08/pdfs/GMD-1819-55.pdf#page=5","Abrir facsímil")</f>
        <v>Abrir facsímil</v>
      </c>
      <c r="K3305" s="3" t="s">
        <v>67</v>
      </c>
    </row>
    <row r="3306" spans="1:11" ht="42" customHeight="1">
      <c r="A3306" s="2" t="s">
        <v>8159</v>
      </c>
      <c r="B3306" s="2" t="s">
        <v>8159</v>
      </c>
      <c r="C3306" s="2" t="s">
        <v>17</v>
      </c>
      <c r="D3306" s="2" t="s">
        <v>18</v>
      </c>
      <c r="E3306" s="5">
        <v>-29341</v>
      </c>
      <c r="F3306" s="3" t="s">
        <v>806</v>
      </c>
      <c r="G3306" s="3" t="s">
        <v>8160</v>
      </c>
      <c r="H3306" s="2" t="s">
        <v>65</v>
      </c>
      <c r="I3306" s="2" t="s">
        <v>8161</v>
      </c>
      <c r="J3306" s="3" t="str">
        <f>HYPERLINK("https://www.boe.es/gazeta/dias/1819/08/31/pdfs/GMD-1819-105.pdf#page=4","Abrir facsímil")</f>
        <v>Abrir facsímil</v>
      </c>
      <c r="K3306" s="3" t="s">
        <v>67</v>
      </c>
    </row>
    <row r="3307" spans="1:11" ht="42" customHeight="1">
      <c r="A3307" s="2" t="s">
        <v>8162</v>
      </c>
      <c r="B3307" s="2" t="s">
        <v>8163</v>
      </c>
      <c r="C3307" s="2" t="s">
        <v>59</v>
      </c>
      <c r="D3307" s="2" t="s">
        <v>18</v>
      </c>
      <c r="E3307" s="5">
        <v>-29234</v>
      </c>
      <c r="F3307" s="3" t="s">
        <v>343</v>
      </c>
      <c r="G3307" s="3" t="s">
        <v>102</v>
      </c>
      <c r="H3307" s="2" t="s">
        <v>21</v>
      </c>
      <c r="I3307" s="2" t="s">
        <v>8164</v>
      </c>
      <c r="J3307" s="3" t="str">
        <f>HYPERLINK("https://www.boe.es/gazeta/dias/1819/12/16/pdfs/GMD-1819-154.pdf#page=3","Abrir facsímil")</f>
        <v>Abrir facsímil</v>
      </c>
      <c r="K3307" s="3" t="s">
        <v>23</v>
      </c>
    </row>
    <row r="3308" spans="1:11" ht="42" customHeight="1">
      <c r="A3308" s="2" t="s">
        <v>8165</v>
      </c>
      <c r="B3308" s="2" t="s">
        <v>8166</v>
      </c>
      <c r="C3308" s="2" t="s">
        <v>136</v>
      </c>
      <c r="D3308" s="2" t="s">
        <v>18</v>
      </c>
      <c r="E3308" s="5">
        <v>-29260</v>
      </c>
      <c r="F3308" s="3" t="s">
        <v>93</v>
      </c>
      <c r="G3308" s="3" t="s">
        <v>33</v>
      </c>
      <c r="H3308" s="2" t="s">
        <v>65</v>
      </c>
      <c r="I3308" s="2" t="s">
        <v>8167</v>
      </c>
      <c r="J3308" s="3" t="str">
        <f>HYPERLINK("https://www.boe.es/gazeta/dias/1819/11/20/pdfs/GMD-1819-143.pdf#page=6","Abrir facsímil")</f>
        <v>Abrir facsímil</v>
      </c>
      <c r="K3308" s="3" t="s">
        <v>67</v>
      </c>
    </row>
    <row r="3309" spans="1:11" ht="42" customHeight="1">
      <c r="A3309" s="2" t="s">
        <v>8165</v>
      </c>
      <c r="B3309" s="2" t="s">
        <v>8166</v>
      </c>
      <c r="C3309" s="2" t="s">
        <v>17</v>
      </c>
      <c r="D3309" s="2" t="s">
        <v>18</v>
      </c>
      <c r="E3309" s="5">
        <v>-29241</v>
      </c>
      <c r="F3309" s="3" t="s">
        <v>1382</v>
      </c>
      <c r="G3309" s="3" t="s">
        <v>38</v>
      </c>
      <c r="H3309" s="2" t="s">
        <v>65</v>
      </c>
      <c r="I3309" s="2" t="s">
        <v>8168</v>
      </c>
      <c r="J3309" s="3" t="str">
        <f>HYPERLINK("https://www.boe.es/gazeta/dias/1819/12/09/pdfs/GMD-1819-151.pdf#page=5","Abrir facsímil")</f>
        <v>Abrir facsímil</v>
      </c>
      <c r="K3309" s="3" t="s">
        <v>67</v>
      </c>
    </row>
    <row r="3310" spans="1:11" ht="42" customHeight="1">
      <c r="A3310" s="2" t="s">
        <v>8169</v>
      </c>
      <c r="B3310" s="2" t="s">
        <v>8170</v>
      </c>
      <c r="C3310" s="2" t="s">
        <v>59</v>
      </c>
      <c r="D3310" s="2" t="s">
        <v>18</v>
      </c>
      <c r="E3310" s="5">
        <v>-29575</v>
      </c>
      <c r="F3310" s="3" t="s">
        <v>77</v>
      </c>
      <c r="G3310" s="3" t="s">
        <v>55</v>
      </c>
      <c r="H3310" s="2" t="s">
        <v>21</v>
      </c>
      <c r="I3310" s="2" t="s">
        <v>8171</v>
      </c>
      <c r="J3310" s="3" t="str">
        <f>HYPERLINK("https://www.boe.es/gazeta/dias/1819/01/09/pdfs/GMD-1819-4.pdf#page=7","Abrir facsímil")</f>
        <v>Abrir facsímil</v>
      </c>
      <c r="K3310" s="3" t="s">
        <v>23</v>
      </c>
    </row>
    <row r="3311" spans="1:11" ht="42" customHeight="1">
      <c r="A3311" s="2" t="s">
        <v>8172</v>
      </c>
      <c r="B3311" s="2" t="s">
        <v>8173</v>
      </c>
      <c r="C3311" s="2" t="s">
        <v>63</v>
      </c>
      <c r="D3311" s="2" t="s">
        <v>43</v>
      </c>
      <c r="E3311" s="5">
        <v>-29281</v>
      </c>
      <c r="F3311" s="3" t="s">
        <v>19</v>
      </c>
      <c r="G3311" s="3" t="s">
        <v>55</v>
      </c>
      <c r="H3311" s="2" t="s">
        <v>65</v>
      </c>
      <c r="I3311" s="2" t="s">
        <v>8174</v>
      </c>
      <c r="J3311" s="3" t="str">
        <f>HYPERLINK("https://www.boe.es/gazeta/dias/1819/10/30/pdfs/GMD-1819-134.pdf#page=7","Abrir facsímil")</f>
        <v>Abrir facsímil</v>
      </c>
      <c r="K3311" s="3" t="s">
        <v>67</v>
      </c>
    </row>
    <row r="3312" spans="1:11" ht="42" customHeight="1">
      <c r="A3312" s="2" t="s">
        <v>8175</v>
      </c>
      <c r="B3312" s="2" t="s">
        <v>8176</v>
      </c>
      <c r="C3312" s="2" t="s">
        <v>59</v>
      </c>
      <c r="D3312" s="2" t="s">
        <v>18</v>
      </c>
      <c r="E3312" s="5">
        <v>-29369</v>
      </c>
      <c r="F3312" s="3" t="s">
        <v>231</v>
      </c>
      <c r="G3312" s="3" t="s">
        <v>33</v>
      </c>
      <c r="H3312" s="2" t="s">
        <v>65</v>
      </c>
      <c r="I3312" s="2" t="s">
        <v>8177</v>
      </c>
      <c r="J3312" s="3" t="str">
        <f>HYPERLINK("https://www.boe.es/gazeta/dias/1819/08/03/pdfs/GMD-1819-93.pdf#page=6","Abrir facsímil")</f>
        <v>Abrir facsímil</v>
      </c>
      <c r="K3312" s="3" t="s">
        <v>67</v>
      </c>
    </row>
    <row r="3313" spans="1:11" ht="42" customHeight="1">
      <c r="A3313" s="2" t="s">
        <v>8178</v>
      </c>
      <c r="B3313" s="2" t="s">
        <v>8179</v>
      </c>
      <c r="C3313" s="2" t="s">
        <v>136</v>
      </c>
      <c r="D3313" s="2" t="s">
        <v>18</v>
      </c>
      <c r="E3313" s="5">
        <v>-29400</v>
      </c>
      <c r="F3313" s="3" t="s">
        <v>2181</v>
      </c>
      <c r="G3313" s="3" t="s">
        <v>38</v>
      </c>
      <c r="H3313" s="2" t="s">
        <v>65</v>
      </c>
      <c r="I3313" s="2" t="s">
        <v>8180</v>
      </c>
      <c r="J3313" s="3" t="str">
        <f>HYPERLINK("https://www.boe.es/gazeta/dias/1819/07/03/pdfs/GMD-1819-80.pdf#page=5","Abrir facsímil")</f>
        <v>Abrir facsímil</v>
      </c>
      <c r="K3313" s="3" t="s">
        <v>67</v>
      </c>
    </row>
    <row r="3314" spans="1:11" ht="42" customHeight="1">
      <c r="A3314" s="2" t="s">
        <v>8181</v>
      </c>
      <c r="B3314" s="2" t="s">
        <v>8182</v>
      </c>
      <c r="C3314" s="2" t="s">
        <v>63</v>
      </c>
      <c r="D3314" s="2" t="s">
        <v>43</v>
      </c>
      <c r="E3314" s="5">
        <v>-29479</v>
      </c>
      <c r="F3314" s="3" t="s">
        <v>979</v>
      </c>
      <c r="G3314" s="3" t="s">
        <v>38</v>
      </c>
      <c r="H3314" s="2" t="s">
        <v>65</v>
      </c>
      <c r="I3314" s="2" t="s">
        <v>8183</v>
      </c>
      <c r="J3314" s="3" t="str">
        <f>HYPERLINK("https://www.boe.es/gazeta/dias/1819/04/15/pdfs/GMD-1819-45.pdf#page=5","Abrir facsímil")</f>
        <v>Abrir facsímil</v>
      </c>
      <c r="K3314" s="3" t="s">
        <v>67</v>
      </c>
    </row>
    <row r="3315" spans="1:11" ht="42" customHeight="1">
      <c r="A3315" s="2" t="s">
        <v>8184</v>
      </c>
      <c r="B3315" s="2" t="s">
        <v>8185</v>
      </c>
      <c r="C3315" s="2" t="s">
        <v>80</v>
      </c>
      <c r="D3315" s="2" t="s">
        <v>81</v>
      </c>
      <c r="E3315" s="5">
        <v>-29579</v>
      </c>
      <c r="F3315" s="3" t="s">
        <v>186</v>
      </c>
      <c r="G3315" s="3" t="s">
        <v>102</v>
      </c>
      <c r="H3315" s="2" t="s">
        <v>65</v>
      </c>
      <c r="I3315" s="2" t="s">
        <v>8186</v>
      </c>
      <c r="J3315" s="3" t="str">
        <f>HYPERLINK("https://www.boe.es/gazeta/dias/1819/01/05/pdfs/GMD-1819-2.pdf#page=3","Abrir facsímil")</f>
        <v>Abrir facsímil</v>
      </c>
      <c r="K3315" s="3" t="s">
        <v>67</v>
      </c>
    </row>
    <row r="3316" spans="1:11" ht="42" customHeight="1">
      <c r="A3316" s="2" t="s">
        <v>8187</v>
      </c>
      <c r="B3316" s="2" t="s">
        <v>8188</v>
      </c>
      <c r="C3316" s="2" t="s">
        <v>63</v>
      </c>
      <c r="D3316" s="2" t="s">
        <v>43</v>
      </c>
      <c r="E3316" s="5">
        <v>-29281</v>
      </c>
      <c r="F3316" s="3" t="s">
        <v>19</v>
      </c>
      <c r="G3316" s="3" t="s">
        <v>28</v>
      </c>
      <c r="H3316" s="2" t="s">
        <v>65</v>
      </c>
      <c r="I3316" s="2" t="s">
        <v>8189</v>
      </c>
      <c r="J3316" s="3" t="str">
        <f>HYPERLINK("https://www.boe.es/gazeta/dias/1819/10/30/pdfs/GMD-1819-134.pdf#page=8","Abrir facsímil")</f>
        <v>Abrir facsímil</v>
      </c>
      <c r="K3316" s="3" t="s">
        <v>67</v>
      </c>
    </row>
    <row r="3317" spans="1:11" ht="42" customHeight="1">
      <c r="A3317" s="2" t="s">
        <v>8187</v>
      </c>
      <c r="B3317" s="2" t="s">
        <v>8188</v>
      </c>
      <c r="C3317" s="2" t="s">
        <v>63</v>
      </c>
      <c r="D3317" s="2" t="s">
        <v>43</v>
      </c>
      <c r="E3317" s="5">
        <v>-29225</v>
      </c>
      <c r="F3317" s="3" t="s">
        <v>472</v>
      </c>
      <c r="G3317" s="3" t="s">
        <v>38</v>
      </c>
      <c r="H3317" s="2" t="s">
        <v>65</v>
      </c>
      <c r="I3317" s="2" t="s">
        <v>8190</v>
      </c>
      <c r="J3317" s="3" t="str">
        <f>HYPERLINK("https://www.boe.es/gazeta/dias/1819/12/25/pdfs/GMD-1819-158.pdf#page=5","Abrir facsímil")</f>
        <v>Abrir facsímil</v>
      </c>
      <c r="K3317" s="3" t="s">
        <v>67</v>
      </c>
    </row>
    <row r="3318" spans="1:11" ht="42" customHeight="1">
      <c r="A3318" s="2" t="s">
        <v>8191</v>
      </c>
      <c r="B3318" s="2" t="s">
        <v>8192</v>
      </c>
      <c r="C3318" s="2" t="s">
        <v>63</v>
      </c>
      <c r="D3318" s="2" t="s">
        <v>43</v>
      </c>
      <c r="E3318" s="5">
        <v>-29253</v>
      </c>
      <c r="F3318" s="3" t="s">
        <v>242</v>
      </c>
      <c r="G3318" s="3" t="s">
        <v>2986</v>
      </c>
      <c r="H3318" s="2" t="s">
        <v>65</v>
      </c>
      <c r="I3318" s="2" t="s">
        <v>8193</v>
      </c>
      <c r="J3318" s="3" t="str">
        <f>HYPERLINK("https://www.boe.es/gazeta/dias/1819/11/27/pdfs/GMD-1819-146.pdf#page=8","Abrir facsímil")</f>
        <v>Abrir facsímil</v>
      </c>
      <c r="K3318" s="3" t="s">
        <v>67</v>
      </c>
    </row>
    <row r="3319" spans="1:11" ht="42" customHeight="1">
      <c r="A3319" s="2" t="s">
        <v>8194</v>
      </c>
      <c r="B3319" s="2" t="s">
        <v>8195</v>
      </c>
      <c r="C3319" s="2" t="s">
        <v>63</v>
      </c>
      <c r="D3319" s="2" t="s">
        <v>43</v>
      </c>
      <c r="E3319" s="5">
        <v>-29563</v>
      </c>
      <c r="F3319" s="3" t="s">
        <v>1087</v>
      </c>
      <c r="G3319" s="3" t="s">
        <v>55</v>
      </c>
      <c r="H3319" s="2" t="s">
        <v>21</v>
      </c>
      <c r="I3319" s="2" t="s">
        <v>8196</v>
      </c>
      <c r="J3319" s="3" t="str">
        <f>HYPERLINK("https://www.boe.es/gazeta/dias/1819/01/21/pdfs/GMD-1819-9.pdf#page=7","Abrir facsímil")</f>
        <v>Abrir facsímil</v>
      </c>
      <c r="K3319" s="3" t="s">
        <v>23</v>
      </c>
    </row>
    <row r="3320" spans="1:11" ht="42" customHeight="1">
      <c r="A3320" s="2" t="s">
        <v>8197</v>
      </c>
      <c r="B3320" s="2" t="s">
        <v>8198</v>
      </c>
      <c r="C3320" s="2" t="s">
        <v>63</v>
      </c>
      <c r="D3320" s="2" t="s">
        <v>43</v>
      </c>
      <c r="E3320" s="5">
        <v>-29498</v>
      </c>
      <c r="F3320" s="3" t="s">
        <v>119</v>
      </c>
      <c r="G3320" s="3" t="s">
        <v>6242</v>
      </c>
      <c r="H3320" s="2" t="s">
        <v>65</v>
      </c>
      <c r="I3320" s="2" t="s">
        <v>8199</v>
      </c>
      <c r="J3320" s="3" t="str">
        <f>HYPERLINK("https://www.boe.es/gazeta/dias/1819/03/27/pdfs/GMD-1819-37.pdf#page=7","Abrir facsímil")</f>
        <v>Abrir facsímil</v>
      </c>
      <c r="K3320" s="3" t="s">
        <v>67</v>
      </c>
    </row>
    <row r="3321" spans="1:11" ht="42" customHeight="1">
      <c r="A3321" s="2" t="s">
        <v>8200</v>
      </c>
      <c r="B3321" s="2" t="s">
        <v>8201</v>
      </c>
      <c r="C3321" s="2" t="s">
        <v>136</v>
      </c>
      <c r="D3321" s="2" t="s">
        <v>18</v>
      </c>
      <c r="E3321" s="5">
        <v>-29523</v>
      </c>
      <c r="F3321" s="3" t="s">
        <v>436</v>
      </c>
      <c r="G3321" s="3" t="s">
        <v>28</v>
      </c>
      <c r="H3321" s="2" t="s">
        <v>65</v>
      </c>
      <c r="I3321" s="2" t="s">
        <v>8202</v>
      </c>
      <c r="J3321" s="3" t="str">
        <f>HYPERLINK("https://www.boe.es/gazeta/dias/1819/03/02/pdfs/GMD-1819-26.pdf#page=8","Abrir facsímil")</f>
        <v>Abrir facsímil</v>
      </c>
      <c r="K3321" s="3" t="s">
        <v>67</v>
      </c>
    </row>
    <row r="3322" spans="1:11" ht="42" customHeight="1">
      <c r="A3322" s="2" t="s">
        <v>8203</v>
      </c>
      <c r="B3322" s="2" t="s">
        <v>8204</v>
      </c>
      <c r="C3322" s="2" t="s">
        <v>26</v>
      </c>
      <c r="D3322" s="2" t="s">
        <v>18</v>
      </c>
      <c r="E3322" s="5">
        <v>-29313</v>
      </c>
      <c r="F3322" s="3" t="s">
        <v>129</v>
      </c>
      <c r="G3322" s="3" t="s">
        <v>28</v>
      </c>
      <c r="H3322" s="2" t="s">
        <v>65</v>
      </c>
      <c r="I3322" s="2" t="s">
        <v>8205</v>
      </c>
      <c r="J3322" s="3" t="str">
        <f>HYPERLINK("https://www.boe.es/gazeta/dias/1819/09/28/pdfs/GMD-1819-119.pdf#page=8","Abrir facsímil")</f>
        <v>Abrir facsímil</v>
      </c>
      <c r="K3322" s="3" t="s">
        <v>67</v>
      </c>
    </row>
    <row r="3323" spans="1:11" ht="42" customHeight="1">
      <c r="A3323" s="2" t="s">
        <v>8206</v>
      </c>
      <c r="B3323" s="2" t="s">
        <v>8207</v>
      </c>
      <c r="C3323" s="2" t="s">
        <v>63</v>
      </c>
      <c r="D3323" s="2" t="s">
        <v>43</v>
      </c>
      <c r="E3323" s="5">
        <v>-29572</v>
      </c>
      <c r="F3323" s="3" t="s">
        <v>589</v>
      </c>
      <c r="G3323" s="3" t="s">
        <v>590</v>
      </c>
      <c r="H3323" s="2" t="s">
        <v>65</v>
      </c>
      <c r="I3323" s="2" t="s">
        <v>8208</v>
      </c>
      <c r="J3323" s="3" t="str">
        <f>HYPERLINK("https://www.boe.es/gazeta/dias/1819/01/12/pdfs/GMD-1819-5.pdf#page=8","Abrir facsímil")</f>
        <v>Abrir facsímil</v>
      </c>
      <c r="K3323" s="3" t="s">
        <v>67</v>
      </c>
    </row>
    <row r="3324" spans="1:11" ht="42" customHeight="1">
      <c r="A3324" s="2" t="s">
        <v>8206</v>
      </c>
      <c r="B3324" s="2" t="s">
        <v>8207</v>
      </c>
      <c r="C3324" s="2" t="s">
        <v>80</v>
      </c>
      <c r="D3324" s="2" t="s">
        <v>81</v>
      </c>
      <c r="E3324" s="5">
        <v>-29561</v>
      </c>
      <c r="F3324" s="3" t="s">
        <v>290</v>
      </c>
      <c r="G3324" s="3" t="s">
        <v>55</v>
      </c>
      <c r="H3324" s="2" t="s">
        <v>65</v>
      </c>
      <c r="I3324" s="2" t="s">
        <v>8209</v>
      </c>
      <c r="J3324" s="3" t="str">
        <f>HYPERLINK("https://www.boe.es/gazeta/dias/1819/01/23/pdfs/GMD-1819-10.pdf#page=7","Abrir facsímil")</f>
        <v>Abrir facsímil</v>
      </c>
      <c r="K3324" s="3" t="s">
        <v>67</v>
      </c>
    </row>
    <row r="3325" spans="1:11" ht="42" customHeight="1">
      <c r="A3325" s="2" t="s">
        <v>8206</v>
      </c>
      <c r="B3325" s="2" t="s">
        <v>8207</v>
      </c>
      <c r="C3325" s="2" t="s">
        <v>63</v>
      </c>
      <c r="D3325" s="2" t="s">
        <v>43</v>
      </c>
      <c r="E3325" s="5">
        <v>-29556</v>
      </c>
      <c r="F3325" s="3" t="s">
        <v>255</v>
      </c>
      <c r="G3325" s="3" t="s">
        <v>28</v>
      </c>
      <c r="H3325" s="2" t="s">
        <v>65</v>
      </c>
      <c r="I3325" s="2" t="s">
        <v>8210</v>
      </c>
      <c r="J3325" s="3" t="str">
        <f>HYPERLINK("https://www.boe.es/gazeta/dias/1819/01/28/pdfs/GMD-1819-12.pdf#page=8","Abrir facsímil")</f>
        <v>Abrir facsímil</v>
      </c>
      <c r="K3325" s="3" t="s">
        <v>67</v>
      </c>
    </row>
    <row r="3326" spans="1:11" ht="42" customHeight="1">
      <c r="A3326" s="2" t="s">
        <v>8206</v>
      </c>
      <c r="B3326" s="2" t="s">
        <v>8207</v>
      </c>
      <c r="C3326" s="2" t="s">
        <v>59</v>
      </c>
      <c r="D3326" s="2" t="s">
        <v>18</v>
      </c>
      <c r="E3326" s="5">
        <v>-29537</v>
      </c>
      <c r="F3326" s="3" t="s">
        <v>593</v>
      </c>
      <c r="G3326" s="3" t="s">
        <v>138</v>
      </c>
      <c r="H3326" s="2" t="s">
        <v>65</v>
      </c>
      <c r="I3326" s="2" t="s">
        <v>8211</v>
      </c>
      <c r="J3326" s="3" t="str">
        <f>HYPERLINK("https://www.boe.es/gazeta/dias/1819/02/16/pdfs/GMD-1819-20.pdf#page=12","Abrir facsímil")</f>
        <v>Abrir facsímil</v>
      </c>
      <c r="K3326" s="3" t="s">
        <v>67</v>
      </c>
    </row>
    <row r="3327" spans="1:11" ht="42" customHeight="1">
      <c r="A3327" s="2" t="s">
        <v>8206</v>
      </c>
      <c r="B3327" s="2" t="s">
        <v>8207</v>
      </c>
      <c r="C3327" s="2" t="s">
        <v>63</v>
      </c>
      <c r="D3327" s="2" t="s">
        <v>43</v>
      </c>
      <c r="E3327" s="5">
        <v>-29535</v>
      </c>
      <c r="F3327" s="3" t="s">
        <v>200</v>
      </c>
      <c r="G3327" s="3" t="s">
        <v>28</v>
      </c>
      <c r="H3327" s="2" t="s">
        <v>65</v>
      </c>
      <c r="I3327" s="2" t="s">
        <v>8212</v>
      </c>
      <c r="J3327" s="3" t="str">
        <f>HYPERLINK("https://www.boe.es/gazeta/dias/1819/02/18/pdfs/GMD-1819-21.pdf#page=8","Abrir facsímil")</f>
        <v>Abrir facsímil</v>
      </c>
      <c r="K3327" s="3" t="s">
        <v>67</v>
      </c>
    </row>
    <row r="3328" spans="1:11" ht="42" customHeight="1">
      <c r="A3328" s="2" t="s">
        <v>8206</v>
      </c>
      <c r="B3328" s="2" t="s">
        <v>8207</v>
      </c>
      <c r="C3328" s="2" t="s">
        <v>63</v>
      </c>
      <c r="D3328" s="2" t="s">
        <v>43</v>
      </c>
      <c r="E3328" s="5">
        <v>-29530</v>
      </c>
      <c r="F3328" s="3" t="s">
        <v>202</v>
      </c>
      <c r="G3328" s="3" t="s">
        <v>138</v>
      </c>
      <c r="H3328" s="2" t="s">
        <v>65</v>
      </c>
      <c r="I3328" s="2" t="s">
        <v>8213</v>
      </c>
      <c r="J3328" s="3" t="str">
        <f>HYPERLINK("https://www.boe.es/gazeta/dias/1819/02/23/pdfs/GMD-1819-23.pdf#page=12","Abrir facsímil")</f>
        <v>Abrir facsímil</v>
      </c>
      <c r="K3328" s="3" t="s">
        <v>67</v>
      </c>
    </row>
    <row r="3329" spans="1:11" ht="42" customHeight="1">
      <c r="A3329" s="2" t="s">
        <v>8206</v>
      </c>
      <c r="B3329" s="2" t="s">
        <v>8207</v>
      </c>
      <c r="C3329" s="2" t="s">
        <v>63</v>
      </c>
      <c r="D3329" s="2" t="s">
        <v>43</v>
      </c>
      <c r="E3329" s="5">
        <v>-29514</v>
      </c>
      <c r="F3329" s="3" t="s">
        <v>595</v>
      </c>
      <c r="G3329" s="3" t="s">
        <v>28</v>
      </c>
      <c r="H3329" s="2" t="s">
        <v>65</v>
      </c>
      <c r="I3329" s="2" t="s">
        <v>8214</v>
      </c>
      <c r="J3329" s="3" t="str">
        <f>HYPERLINK("https://www.boe.es/gazeta/dias/1819/03/11/pdfs/GMD-1819-30.pdf#page=8","Abrir facsímil")</f>
        <v>Abrir facsímil</v>
      </c>
      <c r="K3329" s="3" t="s">
        <v>67</v>
      </c>
    </row>
    <row r="3330" spans="1:11" ht="42" customHeight="1">
      <c r="A3330" s="2" t="s">
        <v>8206</v>
      </c>
      <c r="B3330" s="2" t="s">
        <v>8207</v>
      </c>
      <c r="C3330" s="2" t="s">
        <v>63</v>
      </c>
      <c r="D3330" s="2" t="s">
        <v>43</v>
      </c>
      <c r="E3330" s="5">
        <v>-29498</v>
      </c>
      <c r="F3330" s="3" t="s">
        <v>119</v>
      </c>
      <c r="G3330" s="3" t="s">
        <v>28</v>
      </c>
      <c r="H3330" s="2" t="s">
        <v>65</v>
      </c>
      <c r="I3330" s="2" t="s">
        <v>8215</v>
      </c>
      <c r="J3330" s="3" t="str">
        <f>HYPERLINK("https://www.boe.es/gazeta/dias/1819/03/27/pdfs/GMD-1819-37.pdf#page=8","Abrir facsímil")</f>
        <v>Abrir facsímil</v>
      </c>
      <c r="K3330" s="3" t="s">
        <v>67</v>
      </c>
    </row>
    <row r="3331" spans="1:11" ht="42" customHeight="1">
      <c r="A3331" s="2" t="s">
        <v>8206</v>
      </c>
      <c r="B3331" s="2" t="s">
        <v>8207</v>
      </c>
      <c r="C3331" s="2" t="s">
        <v>80</v>
      </c>
      <c r="D3331" s="2" t="s">
        <v>81</v>
      </c>
      <c r="E3331" s="5">
        <v>-29493</v>
      </c>
      <c r="F3331" s="3" t="s">
        <v>404</v>
      </c>
      <c r="G3331" s="3" t="s">
        <v>28</v>
      </c>
      <c r="H3331" s="2" t="s">
        <v>65</v>
      </c>
      <c r="I3331" s="2" t="s">
        <v>8216</v>
      </c>
      <c r="J3331" s="3" t="str">
        <f>HYPERLINK("https://www.boe.es/gazeta/dias/1819/04/01/pdfs/GMD-1819-39.pdf#page=8","Abrir facsímil")</f>
        <v>Abrir facsímil</v>
      </c>
      <c r="K3331" s="3" t="s">
        <v>67</v>
      </c>
    </row>
    <row r="3332" spans="1:11" ht="42" customHeight="1">
      <c r="A3332" s="2" t="s">
        <v>8206</v>
      </c>
      <c r="B3332" s="2" t="s">
        <v>8207</v>
      </c>
      <c r="C3332" s="2" t="s">
        <v>63</v>
      </c>
      <c r="D3332" s="2" t="s">
        <v>43</v>
      </c>
      <c r="E3332" s="5">
        <v>-29488</v>
      </c>
      <c r="F3332" s="3" t="s">
        <v>27</v>
      </c>
      <c r="G3332" s="3" t="s">
        <v>28</v>
      </c>
      <c r="H3332" s="2" t="s">
        <v>65</v>
      </c>
      <c r="I3332" s="2" t="s">
        <v>8217</v>
      </c>
      <c r="J3332" s="3" t="str">
        <f>HYPERLINK("https://www.boe.es/gazeta/dias/1819/04/06/pdfs/GMD-1819-41.pdf#page=8","Abrir facsímil")</f>
        <v>Abrir facsímil</v>
      </c>
      <c r="K3332" s="3" t="s">
        <v>67</v>
      </c>
    </row>
    <row r="3333" spans="1:11" ht="42" customHeight="1">
      <c r="A3333" s="2" t="s">
        <v>8206</v>
      </c>
      <c r="B3333" s="2" t="s">
        <v>8207</v>
      </c>
      <c r="C3333" s="2" t="s">
        <v>63</v>
      </c>
      <c r="D3333" s="2" t="s">
        <v>43</v>
      </c>
      <c r="E3333" s="5">
        <v>-29486</v>
      </c>
      <c r="F3333" s="3" t="s">
        <v>330</v>
      </c>
      <c r="G3333" s="3" t="s">
        <v>28</v>
      </c>
      <c r="H3333" s="2" t="s">
        <v>65</v>
      </c>
      <c r="I3333" s="2" t="s">
        <v>8218</v>
      </c>
      <c r="J3333" s="3" t="str">
        <f>HYPERLINK("https://www.boe.es/gazeta/dias/1819/04/08/pdfs/GMD-1819-42.pdf#page=8","Abrir facsímil")</f>
        <v>Abrir facsímil</v>
      </c>
      <c r="K3333" s="3" t="s">
        <v>67</v>
      </c>
    </row>
    <row r="3334" spans="1:11" ht="42" customHeight="1">
      <c r="A3334" s="2" t="s">
        <v>8206</v>
      </c>
      <c r="B3334" s="2" t="s">
        <v>8207</v>
      </c>
      <c r="C3334" s="2" t="s">
        <v>63</v>
      </c>
      <c r="D3334" s="2" t="s">
        <v>43</v>
      </c>
      <c r="E3334" s="5">
        <v>-29484</v>
      </c>
      <c r="F3334" s="3" t="s">
        <v>295</v>
      </c>
      <c r="G3334" s="3" t="s">
        <v>28</v>
      </c>
      <c r="H3334" s="2" t="s">
        <v>65</v>
      </c>
      <c r="I3334" s="2" t="s">
        <v>8219</v>
      </c>
      <c r="J3334" s="3" t="str">
        <f>HYPERLINK("https://www.boe.es/gazeta/dias/1819/04/10/pdfs/GMD-1819-43.pdf#page=8","Abrir facsímil")</f>
        <v>Abrir facsímil</v>
      </c>
      <c r="K3334" s="3" t="s">
        <v>67</v>
      </c>
    </row>
    <row r="3335" spans="1:11" ht="42" customHeight="1">
      <c r="A3335" s="2" t="s">
        <v>8206</v>
      </c>
      <c r="B3335" s="2" t="s">
        <v>8207</v>
      </c>
      <c r="C3335" s="2" t="s">
        <v>80</v>
      </c>
      <c r="D3335" s="2" t="s">
        <v>81</v>
      </c>
      <c r="E3335" s="5">
        <v>-29481</v>
      </c>
      <c r="F3335" s="3" t="s">
        <v>1504</v>
      </c>
      <c r="G3335" s="3" t="s">
        <v>28</v>
      </c>
      <c r="H3335" s="2" t="s">
        <v>65</v>
      </c>
      <c r="I3335" s="2" t="s">
        <v>8220</v>
      </c>
      <c r="J3335" s="3" t="str">
        <f>HYPERLINK("https://www.boe.es/gazeta/dias/1819/04/13/pdfs/GMD-1819-44.pdf#page=8","Abrir facsímil")</f>
        <v>Abrir facsímil</v>
      </c>
      <c r="K3335" s="3" t="s">
        <v>67</v>
      </c>
    </row>
    <row r="3336" spans="1:11" ht="42" customHeight="1">
      <c r="A3336" s="2" t="s">
        <v>8206</v>
      </c>
      <c r="B3336" s="2" t="s">
        <v>8207</v>
      </c>
      <c r="C3336" s="2" t="s">
        <v>63</v>
      </c>
      <c r="D3336" s="2" t="s">
        <v>43</v>
      </c>
      <c r="E3336" s="5">
        <v>-29472</v>
      </c>
      <c r="F3336" s="3" t="s">
        <v>393</v>
      </c>
      <c r="G3336" s="3" t="s">
        <v>55</v>
      </c>
      <c r="H3336" s="2" t="s">
        <v>65</v>
      </c>
      <c r="I3336" s="2" t="s">
        <v>8221</v>
      </c>
      <c r="J3336" s="3" t="str">
        <f>HYPERLINK("https://www.boe.es/gazeta/dias/1819/04/22/pdfs/GMD-1819-48.pdf#page=7","Abrir facsímil")</f>
        <v>Abrir facsímil</v>
      </c>
      <c r="K3336" s="3" t="s">
        <v>67</v>
      </c>
    </row>
    <row r="3337" spans="1:11" ht="42" customHeight="1">
      <c r="A3337" s="2" t="s">
        <v>8206</v>
      </c>
      <c r="B3337" s="2" t="s">
        <v>8207</v>
      </c>
      <c r="C3337" s="2" t="s">
        <v>63</v>
      </c>
      <c r="D3337" s="2" t="s">
        <v>43</v>
      </c>
      <c r="E3337" s="5">
        <v>-29460</v>
      </c>
      <c r="F3337" s="3" t="s">
        <v>1534</v>
      </c>
      <c r="G3337" s="3" t="s">
        <v>28</v>
      </c>
      <c r="H3337" s="2" t="s">
        <v>65</v>
      </c>
      <c r="I3337" s="2" t="s">
        <v>8222</v>
      </c>
      <c r="J3337" s="3" t="str">
        <f>HYPERLINK("https://www.boe.es/gazeta/dias/1819/05/04/pdfs/GMD-1819-53.pdf#page=8","Abrir facsímil")</f>
        <v>Abrir facsímil</v>
      </c>
      <c r="K3337" s="3" t="s">
        <v>67</v>
      </c>
    </row>
    <row r="3338" spans="1:11" ht="42" customHeight="1">
      <c r="A3338" s="2" t="s">
        <v>8206</v>
      </c>
      <c r="B3338" s="2" t="s">
        <v>8207</v>
      </c>
      <c r="C3338" s="2" t="s">
        <v>63</v>
      </c>
      <c r="D3338" s="2" t="s">
        <v>43</v>
      </c>
      <c r="E3338" s="5">
        <v>-29456</v>
      </c>
      <c r="F3338" s="3" t="s">
        <v>468</v>
      </c>
      <c r="G3338" s="3" t="s">
        <v>28</v>
      </c>
      <c r="H3338" s="2" t="s">
        <v>65</v>
      </c>
      <c r="I3338" s="2" t="s">
        <v>8223</v>
      </c>
      <c r="J3338" s="3" t="str">
        <f>HYPERLINK("https://www.boe.es/gazeta/dias/1819/05/08/pdfs/GMD-1819-55.pdf#page=8","Abrir facsímil")</f>
        <v>Abrir facsímil</v>
      </c>
      <c r="K3338" s="3" t="s">
        <v>67</v>
      </c>
    </row>
    <row r="3339" spans="1:11" ht="42" customHeight="1">
      <c r="A3339" s="2" t="s">
        <v>8206</v>
      </c>
      <c r="B3339" s="2" t="s">
        <v>8207</v>
      </c>
      <c r="C3339" s="2" t="s">
        <v>63</v>
      </c>
      <c r="D3339" s="2" t="s">
        <v>43</v>
      </c>
      <c r="E3339" s="5">
        <v>-29451</v>
      </c>
      <c r="F3339" s="3" t="s">
        <v>208</v>
      </c>
      <c r="G3339" s="3" t="s">
        <v>55</v>
      </c>
      <c r="H3339" s="2" t="s">
        <v>65</v>
      </c>
      <c r="I3339" s="2" t="s">
        <v>8224</v>
      </c>
      <c r="J3339" s="3" t="str">
        <f>HYPERLINK("https://www.boe.es/gazeta/dias/1819/05/13/pdfs/GMD-1819-57.pdf#page=7","Abrir facsímil")</f>
        <v>Abrir facsímil</v>
      </c>
      <c r="K3339" s="3" t="s">
        <v>67</v>
      </c>
    </row>
    <row r="3340" spans="1:11" ht="42" customHeight="1">
      <c r="A3340" s="2" t="s">
        <v>8206</v>
      </c>
      <c r="B3340" s="2" t="s">
        <v>8207</v>
      </c>
      <c r="C3340" s="2" t="s">
        <v>63</v>
      </c>
      <c r="D3340" s="2" t="s">
        <v>43</v>
      </c>
      <c r="E3340" s="5">
        <v>-29444</v>
      </c>
      <c r="F3340" s="3" t="s">
        <v>258</v>
      </c>
      <c r="G3340" s="3" t="s">
        <v>28</v>
      </c>
      <c r="H3340" s="2" t="s">
        <v>65</v>
      </c>
      <c r="I3340" s="2" t="s">
        <v>8225</v>
      </c>
      <c r="J3340" s="3" t="str">
        <f>HYPERLINK("https://www.boe.es/gazeta/dias/1819/05/20/pdfs/GMD-1819-60.pdf#page=8","Abrir facsímil")</f>
        <v>Abrir facsímil</v>
      </c>
      <c r="K3340" s="3" t="s">
        <v>67</v>
      </c>
    </row>
    <row r="3341" spans="1:11" ht="42" customHeight="1">
      <c r="A3341" s="2" t="s">
        <v>8206</v>
      </c>
      <c r="B3341" s="2" t="s">
        <v>8207</v>
      </c>
      <c r="C3341" s="2" t="s">
        <v>63</v>
      </c>
      <c r="D3341" s="2" t="s">
        <v>43</v>
      </c>
      <c r="E3341" s="5">
        <v>-29442</v>
      </c>
      <c r="F3341" s="3" t="s">
        <v>427</v>
      </c>
      <c r="G3341" s="3" t="s">
        <v>28</v>
      </c>
      <c r="H3341" s="2" t="s">
        <v>65</v>
      </c>
      <c r="I3341" s="2" t="s">
        <v>8226</v>
      </c>
      <c r="J3341" s="3" t="str">
        <f>HYPERLINK("https://www.boe.es/gazeta/dias/1819/05/22/pdfs/GMD-1819-61.pdf#page=8","Abrir facsímil")</f>
        <v>Abrir facsímil</v>
      </c>
      <c r="K3341" s="3" t="s">
        <v>67</v>
      </c>
    </row>
    <row r="3342" spans="1:11" ht="42" customHeight="1">
      <c r="A3342" s="2" t="s">
        <v>8206</v>
      </c>
      <c r="B3342" s="2" t="s">
        <v>8207</v>
      </c>
      <c r="C3342" s="2" t="s">
        <v>63</v>
      </c>
      <c r="D3342" s="2" t="s">
        <v>43</v>
      </c>
      <c r="E3342" s="5">
        <v>-29439</v>
      </c>
      <c r="F3342" s="3" t="s">
        <v>1101</v>
      </c>
      <c r="G3342" s="3" t="s">
        <v>55</v>
      </c>
      <c r="H3342" s="2" t="s">
        <v>65</v>
      </c>
      <c r="I3342" s="2" t="s">
        <v>8227</v>
      </c>
      <c r="J3342" s="3" t="str">
        <f>HYPERLINK("https://www.boe.es/gazeta/dias/1819/05/25/pdfs/GMD-1819-62.pdf#page=7","Abrir facsímil")</f>
        <v>Abrir facsímil</v>
      </c>
      <c r="K3342" s="3" t="s">
        <v>67</v>
      </c>
    </row>
    <row r="3343" spans="1:11" ht="42" customHeight="1">
      <c r="A3343" s="2" t="s">
        <v>8206</v>
      </c>
      <c r="B3343" s="2" t="s">
        <v>8207</v>
      </c>
      <c r="C3343" s="2" t="s">
        <v>63</v>
      </c>
      <c r="D3343" s="2" t="s">
        <v>43</v>
      </c>
      <c r="E3343" s="5">
        <v>-29425</v>
      </c>
      <c r="F3343" s="3" t="s">
        <v>110</v>
      </c>
      <c r="G3343" s="3" t="s">
        <v>28</v>
      </c>
      <c r="H3343" s="2" t="s">
        <v>65</v>
      </c>
      <c r="I3343" s="2" t="s">
        <v>8228</v>
      </c>
      <c r="J3343" s="3" t="str">
        <f>HYPERLINK("https://www.boe.es/gazeta/dias/1819/06/08/pdfs/GMD-1819-68.pdf#page=8","Abrir facsímil")</f>
        <v>Abrir facsímil</v>
      </c>
      <c r="K3343" s="3" t="s">
        <v>67</v>
      </c>
    </row>
    <row r="3344" spans="1:11" ht="42" customHeight="1">
      <c r="A3344" s="2" t="s">
        <v>8206</v>
      </c>
      <c r="B3344" s="2" t="s">
        <v>8207</v>
      </c>
      <c r="C3344" s="2" t="s">
        <v>63</v>
      </c>
      <c r="D3344" s="2" t="s">
        <v>43</v>
      </c>
      <c r="E3344" s="5">
        <v>-29423</v>
      </c>
      <c r="F3344" s="3" t="s">
        <v>1205</v>
      </c>
      <c r="G3344" s="3" t="s">
        <v>28</v>
      </c>
      <c r="H3344" s="2" t="s">
        <v>65</v>
      </c>
      <c r="I3344" s="2" t="s">
        <v>8229</v>
      </c>
      <c r="J3344" s="3" t="str">
        <f>HYPERLINK("https://www.boe.es/gazeta/dias/1819/06/10/pdfs/GMD-1819-69.pdf#page=8","Abrir facsímil")</f>
        <v>Abrir facsímil</v>
      </c>
      <c r="K3344" s="3" t="s">
        <v>67</v>
      </c>
    </row>
    <row r="3345" spans="1:11" ht="42" customHeight="1">
      <c r="A3345" s="2" t="s">
        <v>8206</v>
      </c>
      <c r="B3345" s="2" t="s">
        <v>8207</v>
      </c>
      <c r="C3345" s="2" t="s">
        <v>63</v>
      </c>
      <c r="D3345" s="2" t="s">
        <v>43</v>
      </c>
      <c r="E3345" s="5">
        <v>-29421</v>
      </c>
      <c r="F3345" s="3" t="s">
        <v>1972</v>
      </c>
      <c r="G3345" s="3" t="s">
        <v>2551</v>
      </c>
      <c r="H3345" s="2" t="s">
        <v>65</v>
      </c>
      <c r="I3345" s="2" t="s">
        <v>8230</v>
      </c>
      <c r="J3345" s="3" t="str">
        <f>HYPERLINK("https://www.boe.es/gazeta/dias/1819/06/12/pdfs/GMD-1819-70.pdf#page=8","Abrir facsímil")</f>
        <v>Abrir facsímil</v>
      </c>
      <c r="K3345" s="3" t="s">
        <v>67</v>
      </c>
    </row>
    <row r="3346" spans="1:11" ht="42" customHeight="1">
      <c r="A3346" s="2" t="s">
        <v>8206</v>
      </c>
      <c r="B3346" s="2" t="s">
        <v>8207</v>
      </c>
      <c r="C3346" s="2" t="s">
        <v>80</v>
      </c>
      <c r="D3346" s="2" t="s">
        <v>81</v>
      </c>
      <c r="E3346" s="5">
        <v>-29418</v>
      </c>
      <c r="F3346" s="3" t="s">
        <v>447</v>
      </c>
      <c r="G3346" s="3" t="s">
        <v>28</v>
      </c>
      <c r="H3346" s="2" t="s">
        <v>65</v>
      </c>
      <c r="I3346" s="2" t="s">
        <v>8231</v>
      </c>
      <c r="J3346" s="3" t="str">
        <f>HYPERLINK("https://www.boe.es/gazeta/dias/1819/06/15/pdfs/GMD-1819-72.pdf#page=8","Abrir facsímil")</f>
        <v>Abrir facsímil</v>
      </c>
      <c r="K3346" s="3" t="s">
        <v>67</v>
      </c>
    </row>
    <row r="3347" spans="1:11" ht="42" customHeight="1">
      <c r="A3347" s="2" t="s">
        <v>8206</v>
      </c>
      <c r="B3347" s="2" t="s">
        <v>8207</v>
      </c>
      <c r="C3347" s="2" t="s">
        <v>63</v>
      </c>
      <c r="D3347" s="2" t="s">
        <v>43</v>
      </c>
      <c r="E3347" s="5">
        <v>-29411</v>
      </c>
      <c r="F3347" s="3" t="s">
        <v>317</v>
      </c>
      <c r="G3347" s="3" t="s">
        <v>695</v>
      </c>
      <c r="H3347" s="2" t="s">
        <v>65</v>
      </c>
      <c r="I3347" s="2" t="s">
        <v>8232</v>
      </c>
      <c r="J3347" s="3" t="str">
        <f>HYPERLINK("https://www.boe.es/gazeta/dias/1819/06/22/pdfs/GMD-1819-75.pdf#page=8","Abrir facsímil")</f>
        <v>Abrir facsímil</v>
      </c>
      <c r="K3347" s="3" t="s">
        <v>67</v>
      </c>
    </row>
    <row r="3348" spans="1:11" ht="42" customHeight="1">
      <c r="A3348" s="2" t="s">
        <v>8206</v>
      </c>
      <c r="B3348" s="2" t="s">
        <v>8207</v>
      </c>
      <c r="C3348" s="2" t="s">
        <v>63</v>
      </c>
      <c r="D3348" s="2" t="s">
        <v>43</v>
      </c>
      <c r="E3348" s="5">
        <v>-29409</v>
      </c>
      <c r="F3348" s="3" t="s">
        <v>106</v>
      </c>
      <c r="G3348" s="3" t="s">
        <v>28</v>
      </c>
      <c r="H3348" s="2" t="s">
        <v>65</v>
      </c>
      <c r="I3348" s="2" t="s">
        <v>8233</v>
      </c>
      <c r="J3348" s="3" t="str">
        <f>HYPERLINK("https://www.boe.es/gazeta/dias/1819/06/24/pdfs/GMD-1819-76.pdf#page=8","Abrir facsímil")</f>
        <v>Abrir facsímil</v>
      </c>
      <c r="K3348" s="3" t="s">
        <v>67</v>
      </c>
    </row>
    <row r="3349" spans="1:11" ht="42" customHeight="1">
      <c r="A3349" s="2" t="s">
        <v>8234</v>
      </c>
      <c r="B3349" s="2" t="s">
        <v>8235</v>
      </c>
      <c r="C3349" s="2" t="s">
        <v>63</v>
      </c>
      <c r="D3349" s="2" t="s">
        <v>43</v>
      </c>
      <c r="E3349" s="5">
        <v>-29407</v>
      </c>
      <c r="F3349" s="3" t="s">
        <v>64</v>
      </c>
      <c r="G3349" s="3" t="s">
        <v>55</v>
      </c>
      <c r="H3349" s="2" t="s">
        <v>65</v>
      </c>
      <c r="I3349" s="2" t="s">
        <v>8236</v>
      </c>
      <c r="J3349" s="3" t="str">
        <f>HYPERLINK("https://www.boe.es/gazeta/dias/1819/06/26/pdfs/GMD-1819-77.pdf#page=7","Abrir facsímil")</f>
        <v>Abrir facsímil</v>
      </c>
      <c r="K3349" s="3" t="s">
        <v>67</v>
      </c>
    </row>
    <row r="3350" spans="1:11" ht="42" customHeight="1">
      <c r="A3350" s="2" t="s">
        <v>8206</v>
      </c>
      <c r="B3350" s="2" t="s">
        <v>8207</v>
      </c>
      <c r="C3350" s="2" t="s">
        <v>63</v>
      </c>
      <c r="D3350" s="2" t="s">
        <v>43</v>
      </c>
      <c r="E3350" s="5">
        <v>-29404</v>
      </c>
      <c r="F3350" s="3" t="s">
        <v>1939</v>
      </c>
      <c r="G3350" s="3" t="s">
        <v>28</v>
      </c>
      <c r="H3350" s="2" t="s">
        <v>65</v>
      </c>
      <c r="I3350" s="2" t="s">
        <v>8237</v>
      </c>
      <c r="J3350" s="3" t="str">
        <f>HYPERLINK("https://www.boe.es/gazeta/dias/1819/06/29/pdfs/GMD-1819-78.pdf#page=8","Abrir facsímil")</f>
        <v>Abrir facsímil</v>
      </c>
      <c r="K3350" s="3" t="s">
        <v>67</v>
      </c>
    </row>
    <row r="3351" spans="1:11" ht="42" customHeight="1">
      <c r="A3351" s="2" t="s">
        <v>8206</v>
      </c>
      <c r="B3351" s="2" t="s">
        <v>8207</v>
      </c>
      <c r="C3351" s="2" t="s">
        <v>63</v>
      </c>
      <c r="D3351" s="2" t="s">
        <v>43</v>
      </c>
      <c r="E3351" s="5">
        <v>-29402</v>
      </c>
      <c r="F3351" s="3" t="s">
        <v>1091</v>
      </c>
      <c r="G3351" s="3" t="s">
        <v>55</v>
      </c>
      <c r="H3351" s="2" t="s">
        <v>65</v>
      </c>
      <c r="I3351" s="2" t="s">
        <v>8238</v>
      </c>
      <c r="J3351" s="3" t="str">
        <f>HYPERLINK("https://www.boe.es/gazeta/dias/1819/07/01/pdfs/GMD-1819-79.pdf#page=7","Abrir facsímil")</f>
        <v>Abrir facsímil</v>
      </c>
      <c r="K3351" s="3" t="s">
        <v>67</v>
      </c>
    </row>
    <row r="3352" spans="1:11" ht="42" customHeight="1">
      <c r="A3352" s="2" t="s">
        <v>8206</v>
      </c>
      <c r="B3352" s="2" t="s">
        <v>8207</v>
      </c>
      <c r="C3352" s="2" t="s">
        <v>63</v>
      </c>
      <c r="D3352" s="2" t="s">
        <v>43</v>
      </c>
      <c r="E3352" s="5">
        <v>-29402</v>
      </c>
      <c r="F3352" s="3" t="s">
        <v>1091</v>
      </c>
      <c r="G3352" s="3" t="s">
        <v>28</v>
      </c>
      <c r="H3352" s="2" t="s">
        <v>65</v>
      </c>
      <c r="I3352" s="2" t="s">
        <v>8239</v>
      </c>
      <c r="J3352" s="3" t="str">
        <f>HYPERLINK("https://www.boe.es/gazeta/dias/1819/07/01/pdfs/GMD-1819-79.pdf#page=8","Abrir facsímil")</f>
        <v>Abrir facsímil</v>
      </c>
      <c r="K3352" s="3" t="s">
        <v>67</v>
      </c>
    </row>
    <row r="3353" spans="1:11" ht="42" customHeight="1">
      <c r="A3353" s="2" t="s">
        <v>8206</v>
      </c>
      <c r="B3353" s="2" t="s">
        <v>8207</v>
      </c>
      <c r="C3353" s="2" t="s">
        <v>63</v>
      </c>
      <c r="D3353" s="2" t="s">
        <v>43</v>
      </c>
      <c r="E3353" s="5">
        <v>-29395</v>
      </c>
      <c r="F3353" s="3" t="s">
        <v>684</v>
      </c>
      <c r="G3353" s="3" t="s">
        <v>685</v>
      </c>
      <c r="H3353" s="2" t="s">
        <v>65</v>
      </c>
      <c r="I3353" s="2" t="s">
        <v>8240</v>
      </c>
      <c r="J3353" s="3" t="str">
        <f>HYPERLINK("https://www.boe.es/gazeta/dias/1819/07/08/pdfs/GMD-1819-82.pdf#page=8","Abrir facsímil")</f>
        <v>Abrir facsímil</v>
      </c>
      <c r="K3353" s="3" t="s">
        <v>67</v>
      </c>
    </row>
    <row r="3354" spans="1:11" ht="42" customHeight="1">
      <c r="A3354" s="2" t="s">
        <v>8206</v>
      </c>
      <c r="B3354" s="2" t="s">
        <v>8207</v>
      </c>
      <c r="C3354" s="2" t="s">
        <v>63</v>
      </c>
      <c r="D3354" s="2" t="s">
        <v>43</v>
      </c>
      <c r="E3354" s="5">
        <v>-29390</v>
      </c>
      <c r="F3354" s="3" t="s">
        <v>263</v>
      </c>
      <c r="G3354" s="3" t="s">
        <v>1498</v>
      </c>
      <c r="H3354" s="2" t="s">
        <v>65</v>
      </c>
      <c r="I3354" s="2" t="s">
        <v>8241</v>
      </c>
      <c r="J3354" s="3" t="str">
        <f>HYPERLINK("https://www.boe.es/gazeta/dias/1819/07/13/pdfs/GMD-1819-84.pdf#page=12","Abrir facsímil")</f>
        <v>Abrir facsímil</v>
      </c>
      <c r="K3354" s="3" t="s">
        <v>67</v>
      </c>
    </row>
    <row r="3355" spans="1:11" ht="42" customHeight="1">
      <c r="A3355" s="2" t="s">
        <v>8206</v>
      </c>
      <c r="B3355" s="2" t="s">
        <v>8207</v>
      </c>
      <c r="C3355" s="2" t="s">
        <v>63</v>
      </c>
      <c r="D3355" s="2" t="s">
        <v>43</v>
      </c>
      <c r="E3355" s="5">
        <v>-29383</v>
      </c>
      <c r="F3355" s="3" t="s">
        <v>631</v>
      </c>
      <c r="G3355" s="3" t="s">
        <v>55</v>
      </c>
      <c r="H3355" s="2" t="s">
        <v>65</v>
      </c>
      <c r="I3355" s="2" t="s">
        <v>8242</v>
      </c>
      <c r="J3355" s="3" t="str">
        <f>HYPERLINK("https://www.boe.es/gazeta/dias/1819/07/20/pdfs/GMD-1819-87.pdf#page=7","Abrir facsímil")</f>
        <v>Abrir facsímil</v>
      </c>
      <c r="K3355" s="3" t="s">
        <v>67</v>
      </c>
    </row>
    <row r="3356" spans="1:11" ht="42" customHeight="1">
      <c r="A3356" s="2" t="s">
        <v>8206</v>
      </c>
      <c r="B3356" s="2" t="s">
        <v>8207</v>
      </c>
      <c r="C3356" s="2" t="s">
        <v>63</v>
      </c>
      <c r="D3356" s="2" t="s">
        <v>43</v>
      </c>
      <c r="E3356" s="5">
        <v>-29376</v>
      </c>
      <c r="F3356" s="3" t="s">
        <v>332</v>
      </c>
      <c r="G3356" s="3" t="s">
        <v>2560</v>
      </c>
      <c r="H3356" s="2" t="s">
        <v>65</v>
      </c>
      <c r="I3356" s="2" t="s">
        <v>8243</v>
      </c>
      <c r="J3356" s="3" t="str">
        <f>HYPERLINK("https://www.boe.es/gazeta/dias/1819/07/27/pdfs/GMD-1819-90.pdf#page=7","Abrir facsímil")</f>
        <v>Abrir facsímil</v>
      </c>
      <c r="K3356" s="3" t="s">
        <v>67</v>
      </c>
    </row>
    <row r="3357" spans="1:11" ht="42" customHeight="1">
      <c r="A3357" s="2" t="s">
        <v>8206</v>
      </c>
      <c r="B3357" s="2" t="s">
        <v>8207</v>
      </c>
      <c r="C3357" s="2" t="s">
        <v>59</v>
      </c>
      <c r="D3357" s="2" t="s">
        <v>18</v>
      </c>
      <c r="E3357" s="5">
        <v>-29376</v>
      </c>
      <c r="F3357" s="3" t="s">
        <v>332</v>
      </c>
      <c r="G3357" s="3" t="s">
        <v>28</v>
      </c>
      <c r="H3357" s="2" t="s">
        <v>65</v>
      </c>
      <c r="I3357" s="2" t="s">
        <v>8244</v>
      </c>
      <c r="J3357" s="3" t="str">
        <f>HYPERLINK("https://www.boe.es/gazeta/dias/1819/07/27/pdfs/GMD-1819-90.pdf#page=8","Abrir facsímil")</f>
        <v>Abrir facsímil</v>
      </c>
      <c r="K3357" s="3" t="s">
        <v>67</v>
      </c>
    </row>
    <row r="3358" spans="1:11" ht="42" customHeight="1">
      <c r="A3358" s="2" t="s">
        <v>8206</v>
      </c>
      <c r="B3358" s="2" t="s">
        <v>8207</v>
      </c>
      <c r="C3358" s="2" t="s">
        <v>63</v>
      </c>
      <c r="D3358" s="2" t="s">
        <v>43</v>
      </c>
      <c r="E3358" s="5">
        <v>-29372</v>
      </c>
      <c r="F3358" s="3" t="s">
        <v>715</v>
      </c>
      <c r="G3358" s="3" t="s">
        <v>28</v>
      </c>
      <c r="H3358" s="2" t="s">
        <v>65</v>
      </c>
      <c r="I3358" s="2" t="s">
        <v>8245</v>
      </c>
      <c r="J3358" s="3" t="str">
        <f>HYPERLINK("https://www.boe.es/gazeta/dias/1819/07/31/pdfs/GMD-1819-92.pdf#page=8","Abrir facsímil")</f>
        <v>Abrir facsímil</v>
      </c>
      <c r="K3358" s="3" t="s">
        <v>67</v>
      </c>
    </row>
    <row r="3359" spans="1:11" ht="42" customHeight="1">
      <c r="A3359" s="2" t="s">
        <v>8206</v>
      </c>
      <c r="B3359" s="2" t="s">
        <v>8207</v>
      </c>
      <c r="C3359" s="2" t="s">
        <v>215</v>
      </c>
      <c r="D3359" s="2" t="s">
        <v>18</v>
      </c>
      <c r="E3359" s="5">
        <v>-29362</v>
      </c>
      <c r="F3359" s="3" t="s">
        <v>803</v>
      </c>
      <c r="G3359" s="3" t="s">
        <v>28</v>
      </c>
      <c r="H3359" s="2" t="s">
        <v>65</v>
      </c>
      <c r="I3359" s="2" t="s">
        <v>8246</v>
      </c>
      <c r="J3359" s="3" t="str">
        <f>HYPERLINK("https://www.boe.es/gazeta/dias/1819/08/10/pdfs/GMD-1819-96.pdf#page=8","Abrir facsímil")</f>
        <v>Abrir facsímil</v>
      </c>
      <c r="K3359" s="3" t="s">
        <v>67</v>
      </c>
    </row>
    <row r="3360" spans="1:11" ht="42" customHeight="1">
      <c r="A3360" s="2" t="s">
        <v>8206</v>
      </c>
      <c r="B3360" s="2" t="s">
        <v>8207</v>
      </c>
      <c r="C3360" s="2" t="s">
        <v>63</v>
      </c>
      <c r="D3360" s="2" t="s">
        <v>43</v>
      </c>
      <c r="E3360" s="5">
        <v>-29360</v>
      </c>
      <c r="F3360" s="3" t="s">
        <v>182</v>
      </c>
      <c r="G3360" s="3" t="s">
        <v>28</v>
      </c>
      <c r="H3360" s="2" t="s">
        <v>65</v>
      </c>
      <c r="I3360" s="2" t="s">
        <v>8247</v>
      </c>
      <c r="J3360" s="3" t="str">
        <f>HYPERLINK("https://www.boe.es/gazeta/dias/1819/08/12/pdfs/GMD-1819-97.pdf#page=8","Abrir facsímil")</f>
        <v>Abrir facsímil</v>
      </c>
      <c r="K3360" s="3" t="s">
        <v>67</v>
      </c>
    </row>
    <row r="3361" spans="1:11" ht="42" customHeight="1">
      <c r="A3361" s="2" t="s">
        <v>8206</v>
      </c>
      <c r="B3361" s="2" t="s">
        <v>8207</v>
      </c>
      <c r="C3361" s="2" t="s">
        <v>63</v>
      </c>
      <c r="D3361" s="2" t="s">
        <v>43</v>
      </c>
      <c r="E3361" s="5">
        <v>-29353</v>
      </c>
      <c r="F3361" s="3" t="s">
        <v>867</v>
      </c>
      <c r="G3361" s="3" t="s">
        <v>28</v>
      </c>
      <c r="H3361" s="2" t="s">
        <v>65</v>
      </c>
      <c r="I3361" s="2" t="s">
        <v>8248</v>
      </c>
      <c r="J3361" s="3" t="str">
        <f>HYPERLINK("https://www.boe.es/gazeta/dias/1819/08/19/pdfs/GMD-1819-100.pdf#page=8","Abrir facsímil")</f>
        <v>Abrir facsímil</v>
      </c>
      <c r="K3361" s="3" t="s">
        <v>67</v>
      </c>
    </row>
    <row r="3362" spans="1:11" ht="42" customHeight="1">
      <c r="A3362" s="2" t="s">
        <v>8206</v>
      </c>
      <c r="B3362" s="2" t="s">
        <v>8207</v>
      </c>
      <c r="C3362" s="2" t="s">
        <v>80</v>
      </c>
      <c r="D3362" s="2" t="s">
        <v>81</v>
      </c>
      <c r="E3362" s="5">
        <v>-29351</v>
      </c>
      <c r="F3362" s="3" t="s">
        <v>101</v>
      </c>
      <c r="G3362" s="3" t="s">
        <v>28</v>
      </c>
      <c r="H3362" s="2" t="s">
        <v>65</v>
      </c>
      <c r="I3362" s="2" t="s">
        <v>8249</v>
      </c>
      <c r="J3362" s="3" t="str">
        <f>HYPERLINK("https://www.boe.es/gazeta/dias/1819/08/21/pdfs/GMD-1819-101.pdf#page=8","Abrir facsímil")</f>
        <v>Abrir facsímil</v>
      </c>
      <c r="K3362" s="3" t="s">
        <v>67</v>
      </c>
    </row>
    <row r="3363" spans="1:11" ht="42" customHeight="1">
      <c r="A3363" s="2" t="s">
        <v>8206</v>
      </c>
      <c r="B3363" s="2" t="s">
        <v>8207</v>
      </c>
      <c r="C3363" s="2" t="s">
        <v>63</v>
      </c>
      <c r="D3363" s="2" t="s">
        <v>43</v>
      </c>
      <c r="E3363" s="5">
        <v>-29348</v>
      </c>
      <c r="F3363" s="3" t="s">
        <v>227</v>
      </c>
      <c r="G3363" s="3" t="s">
        <v>28</v>
      </c>
      <c r="H3363" s="2" t="s">
        <v>65</v>
      </c>
      <c r="I3363" s="2" t="s">
        <v>8250</v>
      </c>
      <c r="J3363" s="3" t="str">
        <f>HYPERLINK("https://www.boe.es/gazeta/dias/1819/08/24/pdfs/GMD-1819-102.pdf#page=8","Abrir facsímil")</f>
        <v>Abrir facsímil</v>
      </c>
      <c r="K3363" s="3" t="s">
        <v>67</v>
      </c>
    </row>
    <row r="3364" spans="1:11" ht="42" customHeight="1">
      <c r="A3364" s="2" t="s">
        <v>8206</v>
      </c>
      <c r="B3364" s="2" t="s">
        <v>8207</v>
      </c>
      <c r="C3364" s="2" t="s">
        <v>63</v>
      </c>
      <c r="D3364" s="2" t="s">
        <v>43</v>
      </c>
      <c r="E3364" s="5">
        <v>-29346</v>
      </c>
      <c r="F3364" s="3" t="s">
        <v>718</v>
      </c>
      <c r="G3364" s="3" t="s">
        <v>28</v>
      </c>
      <c r="H3364" s="2" t="s">
        <v>65</v>
      </c>
      <c r="I3364" s="2" t="s">
        <v>8251</v>
      </c>
      <c r="J3364" s="3" t="str">
        <f>HYPERLINK("https://www.boe.es/gazeta/dias/1819/08/26/pdfs/GMD-1819-103.pdf#page=8","Abrir facsímil")</f>
        <v>Abrir facsímil</v>
      </c>
      <c r="K3364" s="3" t="s">
        <v>67</v>
      </c>
    </row>
    <row r="3365" spans="1:11" ht="42" customHeight="1">
      <c r="A3365" s="2" t="s">
        <v>8206</v>
      </c>
      <c r="B3365" s="2" t="s">
        <v>8207</v>
      </c>
      <c r="C3365" s="2" t="s">
        <v>63</v>
      </c>
      <c r="D3365" s="2" t="s">
        <v>43</v>
      </c>
      <c r="E3365" s="5">
        <v>-29334</v>
      </c>
      <c r="F3365" s="3" t="s">
        <v>3082</v>
      </c>
      <c r="G3365" s="3" t="s">
        <v>28</v>
      </c>
      <c r="H3365" s="2" t="s">
        <v>65</v>
      </c>
      <c r="I3365" s="2" t="s">
        <v>8252</v>
      </c>
      <c r="J3365" s="3" t="str">
        <f>HYPERLINK("https://www.boe.es/gazeta/dias/1819/09/07/pdfs/GMD-1819-109.pdf#page=8","Abrir facsímil")</f>
        <v>Abrir facsímil</v>
      </c>
      <c r="K3365" s="3" t="s">
        <v>67</v>
      </c>
    </row>
    <row r="3366" spans="1:11" ht="42" customHeight="1">
      <c r="A3366" s="2" t="s">
        <v>8206</v>
      </c>
      <c r="B3366" s="2" t="s">
        <v>8207</v>
      </c>
      <c r="C3366" s="2" t="s">
        <v>63</v>
      </c>
      <c r="D3366" s="2" t="s">
        <v>43</v>
      </c>
      <c r="E3366" s="5">
        <v>-29332</v>
      </c>
      <c r="F3366" s="3" t="s">
        <v>499</v>
      </c>
      <c r="G3366" s="3" t="s">
        <v>28</v>
      </c>
      <c r="H3366" s="2" t="s">
        <v>65</v>
      </c>
      <c r="I3366" s="2" t="s">
        <v>8253</v>
      </c>
      <c r="J3366" s="3" t="str">
        <f>HYPERLINK("https://www.boe.es/gazeta/dias/1819/09/09/pdfs/GMD-1819-110.pdf#page=8","Abrir facsímil")</f>
        <v>Abrir facsímil</v>
      </c>
      <c r="K3366" s="3" t="s">
        <v>67</v>
      </c>
    </row>
    <row r="3367" spans="1:11" ht="42" customHeight="1">
      <c r="A3367" s="2" t="s">
        <v>8206</v>
      </c>
      <c r="B3367" s="2" t="s">
        <v>8207</v>
      </c>
      <c r="C3367" s="2" t="s">
        <v>63</v>
      </c>
      <c r="D3367" s="2" t="s">
        <v>43</v>
      </c>
      <c r="E3367" s="5">
        <v>-29325</v>
      </c>
      <c r="F3367" s="3" t="s">
        <v>174</v>
      </c>
      <c r="G3367" s="3" t="s">
        <v>2818</v>
      </c>
      <c r="H3367" s="2" t="s">
        <v>65</v>
      </c>
      <c r="I3367" s="2" t="s">
        <v>8254</v>
      </c>
      <c r="J3367" s="3" t="str">
        <f>HYPERLINK("https://www.boe.es/gazeta/dias/1819/09/16/pdfs/GMD-1819-113.pdf#page=8","Abrir facsímil")</f>
        <v>Abrir facsímil</v>
      </c>
      <c r="K3367" s="3" t="s">
        <v>67</v>
      </c>
    </row>
    <row r="3368" spans="1:11" ht="42" customHeight="1">
      <c r="A3368" s="2" t="s">
        <v>8206</v>
      </c>
      <c r="B3368" s="2" t="s">
        <v>8207</v>
      </c>
      <c r="C3368" s="2" t="s">
        <v>63</v>
      </c>
      <c r="D3368" s="2" t="s">
        <v>43</v>
      </c>
      <c r="E3368" s="5">
        <v>-29323</v>
      </c>
      <c r="F3368" s="3" t="s">
        <v>270</v>
      </c>
      <c r="G3368" s="3" t="s">
        <v>28</v>
      </c>
      <c r="H3368" s="2" t="s">
        <v>65</v>
      </c>
      <c r="I3368" s="2" t="s">
        <v>8255</v>
      </c>
      <c r="J3368" s="3" t="str">
        <f>HYPERLINK("https://www.boe.es/gazeta/dias/1819/09/18/pdfs/GMD-1819-115.pdf#page=8","Abrir facsímil")</f>
        <v>Abrir facsímil</v>
      </c>
      <c r="K3368" s="3" t="s">
        <v>67</v>
      </c>
    </row>
    <row r="3369" spans="1:11" ht="42" customHeight="1">
      <c r="A3369" s="2" t="s">
        <v>8206</v>
      </c>
      <c r="B3369" s="2" t="s">
        <v>8207</v>
      </c>
      <c r="C3369" s="2" t="s">
        <v>17</v>
      </c>
      <c r="D3369" s="2" t="s">
        <v>18</v>
      </c>
      <c r="E3369" s="5">
        <v>-29311</v>
      </c>
      <c r="F3369" s="3" t="s">
        <v>678</v>
      </c>
      <c r="G3369" s="3" t="s">
        <v>55</v>
      </c>
      <c r="H3369" s="2" t="s">
        <v>65</v>
      </c>
      <c r="I3369" s="2" t="s">
        <v>8256</v>
      </c>
      <c r="J3369" s="3" t="str">
        <f>HYPERLINK("https://www.boe.es/gazeta/dias/1819/09/30/pdfs/GMD-1819-120.pdf#page=7","Abrir facsímil")</f>
        <v>Abrir facsímil</v>
      </c>
      <c r="K3369" s="3" t="s">
        <v>67</v>
      </c>
    </row>
    <row r="3370" spans="1:11" ht="42" customHeight="1">
      <c r="A3370" s="2" t="s">
        <v>8206</v>
      </c>
      <c r="B3370" s="2" t="s">
        <v>8207</v>
      </c>
      <c r="C3370" s="2" t="s">
        <v>80</v>
      </c>
      <c r="D3370" s="2" t="s">
        <v>81</v>
      </c>
      <c r="E3370" s="5">
        <v>-29309</v>
      </c>
      <c r="F3370" s="3" t="s">
        <v>476</v>
      </c>
      <c r="G3370" s="3" t="s">
        <v>55</v>
      </c>
      <c r="H3370" s="2" t="s">
        <v>65</v>
      </c>
      <c r="I3370" s="2" t="s">
        <v>8257</v>
      </c>
      <c r="J3370" s="3" t="str">
        <f>HYPERLINK("https://www.boe.es/gazeta/dias/1819/10/02/pdfs/GMD-1819-121.pdf#page=7","Abrir facsímil")</f>
        <v>Abrir facsímil</v>
      </c>
      <c r="K3370" s="3" t="s">
        <v>67</v>
      </c>
    </row>
    <row r="3371" spans="1:11" ht="42" customHeight="1">
      <c r="A3371" s="2" t="s">
        <v>8206</v>
      </c>
      <c r="B3371" s="2" t="s">
        <v>8207</v>
      </c>
      <c r="C3371" s="2" t="s">
        <v>63</v>
      </c>
      <c r="D3371" s="2" t="s">
        <v>43</v>
      </c>
      <c r="E3371" s="5">
        <v>-29297</v>
      </c>
      <c r="F3371" s="3" t="s">
        <v>82</v>
      </c>
      <c r="G3371" s="3" t="s">
        <v>28</v>
      </c>
      <c r="H3371" s="2" t="s">
        <v>65</v>
      </c>
      <c r="I3371" s="2" t="s">
        <v>8258</v>
      </c>
      <c r="J3371" s="3" t="str">
        <f>HYPERLINK("https://www.boe.es/gazeta/dias/1819/10/14/pdfs/GMD-1819-126.pdf#page=8","Abrir facsímil")</f>
        <v>Abrir facsímil</v>
      </c>
      <c r="K3371" s="3" t="s">
        <v>67</v>
      </c>
    </row>
    <row r="3372" spans="1:11" ht="42" customHeight="1">
      <c r="A3372" s="2" t="s">
        <v>8206</v>
      </c>
      <c r="B3372" s="2" t="s">
        <v>8207</v>
      </c>
      <c r="C3372" s="2" t="s">
        <v>63</v>
      </c>
      <c r="D3372" s="2" t="s">
        <v>43</v>
      </c>
      <c r="E3372" s="5">
        <v>-29292</v>
      </c>
      <c r="F3372" s="3" t="s">
        <v>875</v>
      </c>
      <c r="G3372" s="3" t="s">
        <v>55</v>
      </c>
      <c r="H3372" s="2" t="s">
        <v>65</v>
      </c>
      <c r="I3372" s="2" t="s">
        <v>8259</v>
      </c>
      <c r="J3372" s="3" t="str">
        <f>HYPERLINK("https://www.boe.es/gazeta/dias/1819/10/19/pdfs/GMD-1819-128.pdf#page=7","Abrir facsímil")</f>
        <v>Abrir facsímil</v>
      </c>
      <c r="K3372" s="3" t="s">
        <v>67</v>
      </c>
    </row>
    <row r="3373" spans="1:11" ht="42" customHeight="1">
      <c r="A3373" s="2" t="s">
        <v>8206</v>
      </c>
      <c r="B3373" s="2" t="s">
        <v>8207</v>
      </c>
      <c r="C3373" s="2" t="s">
        <v>63</v>
      </c>
      <c r="D3373" s="2" t="s">
        <v>43</v>
      </c>
      <c r="E3373" s="5">
        <v>-29290</v>
      </c>
      <c r="F3373" s="3" t="s">
        <v>622</v>
      </c>
      <c r="G3373" s="3" t="s">
        <v>28</v>
      </c>
      <c r="H3373" s="2" t="s">
        <v>65</v>
      </c>
      <c r="I3373" s="2" t="s">
        <v>8260</v>
      </c>
      <c r="J3373" s="3" t="str">
        <f>HYPERLINK("https://www.boe.es/gazeta/dias/1819/10/21/pdfs/GMD-1819-129.pdf#page=8","Abrir facsímil")</f>
        <v>Abrir facsímil</v>
      </c>
      <c r="K3373" s="3" t="s">
        <v>67</v>
      </c>
    </row>
    <row r="3374" spans="1:11" ht="42" customHeight="1">
      <c r="A3374" s="2" t="s">
        <v>8206</v>
      </c>
      <c r="B3374" s="2" t="s">
        <v>8207</v>
      </c>
      <c r="C3374" s="2" t="s">
        <v>63</v>
      </c>
      <c r="D3374" s="2" t="s">
        <v>43</v>
      </c>
      <c r="E3374" s="5">
        <v>-29281</v>
      </c>
      <c r="F3374" s="3" t="s">
        <v>19</v>
      </c>
      <c r="G3374" s="3" t="s">
        <v>138</v>
      </c>
      <c r="H3374" s="2" t="s">
        <v>65</v>
      </c>
      <c r="I3374" s="2" t="s">
        <v>8261</v>
      </c>
      <c r="J3374" s="3" t="str">
        <f>HYPERLINK("https://www.boe.es/gazeta/dias/1819/10/30/pdfs/GMD-1819-134.pdf#page=12","Abrir facsímil")</f>
        <v>Abrir facsímil</v>
      </c>
      <c r="K3374" s="3" t="s">
        <v>67</v>
      </c>
    </row>
    <row r="3375" spans="1:11" ht="42" customHeight="1">
      <c r="A3375" s="2" t="s">
        <v>8206</v>
      </c>
      <c r="B3375" s="2" t="s">
        <v>8207</v>
      </c>
      <c r="C3375" s="2" t="s">
        <v>63</v>
      </c>
      <c r="D3375" s="2" t="s">
        <v>43</v>
      </c>
      <c r="E3375" s="5">
        <v>-29260</v>
      </c>
      <c r="F3375" s="3" t="s">
        <v>93</v>
      </c>
      <c r="G3375" s="3" t="s">
        <v>138</v>
      </c>
      <c r="H3375" s="2" t="s">
        <v>65</v>
      </c>
      <c r="I3375" s="2" t="s">
        <v>8262</v>
      </c>
      <c r="J3375" s="3" t="str">
        <f>HYPERLINK("https://www.boe.es/gazeta/dias/1819/11/20/pdfs/GMD-1819-143.pdf#page=12","Abrir facsímil")</f>
        <v>Abrir facsímil</v>
      </c>
      <c r="K3375" s="3" t="s">
        <v>67</v>
      </c>
    </row>
    <row r="3376" spans="1:11" ht="42" customHeight="1">
      <c r="A3376" s="2" t="s">
        <v>8206</v>
      </c>
      <c r="B3376" s="2" t="s">
        <v>8207</v>
      </c>
      <c r="C3376" s="2" t="s">
        <v>215</v>
      </c>
      <c r="D3376" s="2" t="s">
        <v>18</v>
      </c>
      <c r="E3376" s="5">
        <v>-29257</v>
      </c>
      <c r="F3376" s="3" t="s">
        <v>73</v>
      </c>
      <c r="G3376" s="3" t="s">
        <v>138</v>
      </c>
      <c r="H3376" s="2" t="s">
        <v>65</v>
      </c>
      <c r="I3376" s="2" t="s">
        <v>8263</v>
      </c>
      <c r="J3376" s="3" t="str">
        <f>HYPERLINK("https://www.boe.es/gazeta/dias/1819/11/23/pdfs/GMD-1819-144.pdf#page=12","Abrir facsímil")</f>
        <v>Abrir facsímil</v>
      </c>
      <c r="K3376" s="3" t="s">
        <v>67</v>
      </c>
    </row>
    <row r="3377" spans="1:11" ht="42" customHeight="1">
      <c r="A3377" s="2" t="s">
        <v>8206</v>
      </c>
      <c r="B3377" s="2" t="s">
        <v>8207</v>
      </c>
      <c r="C3377" s="2" t="s">
        <v>63</v>
      </c>
      <c r="D3377" s="2" t="s">
        <v>43</v>
      </c>
      <c r="E3377" s="5">
        <v>-29255</v>
      </c>
      <c r="F3377" s="3" t="s">
        <v>357</v>
      </c>
      <c r="G3377" s="3" t="s">
        <v>5261</v>
      </c>
      <c r="H3377" s="2" t="s">
        <v>65</v>
      </c>
      <c r="I3377" s="2" t="s">
        <v>8264</v>
      </c>
      <c r="J3377" s="3" t="str">
        <f>HYPERLINK("https://www.boe.es/gazeta/dias/1819/11/25/pdfs/GMD-1819-145.pdf#page=7","Abrir facsímil")</f>
        <v>Abrir facsímil</v>
      </c>
      <c r="K3377" s="3" t="s">
        <v>67</v>
      </c>
    </row>
    <row r="3378" spans="1:11" ht="42" customHeight="1">
      <c r="A3378" s="2" t="s">
        <v>8206</v>
      </c>
      <c r="B3378" s="2" t="s">
        <v>8207</v>
      </c>
      <c r="C3378" s="2" t="s">
        <v>63</v>
      </c>
      <c r="D3378" s="2" t="s">
        <v>43</v>
      </c>
      <c r="E3378" s="5">
        <v>-29253</v>
      </c>
      <c r="F3378" s="3" t="s">
        <v>242</v>
      </c>
      <c r="G3378" s="3" t="s">
        <v>2986</v>
      </c>
      <c r="H3378" s="2" t="s">
        <v>65</v>
      </c>
      <c r="I3378" s="2" t="s">
        <v>8265</v>
      </c>
      <c r="J3378" s="3" t="str">
        <f>HYPERLINK("https://www.boe.es/gazeta/dias/1819/11/27/pdfs/GMD-1819-146.pdf#page=8","Abrir facsímil")</f>
        <v>Abrir facsímil</v>
      </c>
      <c r="K3378" s="3" t="s">
        <v>67</v>
      </c>
    </row>
    <row r="3379" spans="1:11" ht="42" customHeight="1">
      <c r="A3379" s="2" t="s">
        <v>8206</v>
      </c>
      <c r="B3379" s="2" t="s">
        <v>8207</v>
      </c>
      <c r="C3379" s="2" t="s">
        <v>63</v>
      </c>
      <c r="D3379" s="2" t="s">
        <v>43</v>
      </c>
      <c r="E3379" s="5">
        <v>-29250</v>
      </c>
      <c r="F3379" s="3" t="s">
        <v>312</v>
      </c>
      <c r="G3379" s="3" t="s">
        <v>313</v>
      </c>
      <c r="H3379" s="2" t="s">
        <v>65</v>
      </c>
      <c r="I3379" s="2" t="s">
        <v>8266</v>
      </c>
      <c r="J3379" s="3" t="str">
        <f>HYPERLINK("https://www.boe.es/gazeta/dias/1819/11/30/pdfs/GMD-1819-147.pdf#page=8","Abrir facsímil")</f>
        <v>Abrir facsímil</v>
      </c>
      <c r="K3379" s="3" t="s">
        <v>67</v>
      </c>
    </row>
    <row r="3380" spans="1:11" ht="42" customHeight="1">
      <c r="A3380" s="2" t="s">
        <v>8206</v>
      </c>
      <c r="B3380" s="2" t="s">
        <v>8207</v>
      </c>
      <c r="C3380" s="2" t="s">
        <v>63</v>
      </c>
      <c r="D3380" s="2" t="s">
        <v>43</v>
      </c>
      <c r="E3380" s="5">
        <v>-29243</v>
      </c>
      <c r="F3380" s="3" t="s">
        <v>2099</v>
      </c>
      <c r="G3380" s="3" t="s">
        <v>28</v>
      </c>
      <c r="H3380" s="2" t="s">
        <v>65</v>
      </c>
      <c r="I3380" s="2" t="s">
        <v>8267</v>
      </c>
      <c r="J3380" s="3" t="str">
        <f>HYPERLINK("https://www.boe.es/gazeta/dias/1819/12/07/pdfs/GMD-1819-150.pdf#page=8","Abrir facsímil")</f>
        <v>Abrir facsímil</v>
      </c>
      <c r="K3380" s="3" t="s">
        <v>67</v>
      </c>
    </row>
    <row r="3381" spans="1:11" ht="42" customHeight="1">
      <c r="A3381" s="2" t="s">
        <v>8206</v>
      </c>
      <c r="B3381" s="2" t="s">
        <v>8207</v>
      </c>
      <c r="C3381" s="2" t="s">
        <v>63</v>
      </c>
      <c r="D3381" s="2" t="s">
        <v>43</v>
      </c>
      <c r="E3381" s="5">
        <v>-29232</v>
      </c>
      <c r="F3381" s="3" t="s">
        <v>752</v>
      </c>
      <c r="G3381" s="3" t="s">
        <v>839</v>
      </c>
      <c r="H3381" s="2" t="s">
        <v>65</v>
      </c>
      <c r="I3381" s="2" t="s">
        <v>8268</v>
      </c>
      <c r="J3381" s="3" t="str">
        <f>HYPERLINK("https://www.boe.es/gazeta/dias/1819/12/18/pdfs/GMD-1819-155.pdf#page=8","Abrir facsímil")</f>
        <v>Abrir facsímil</v>
      </c>
      <c r="K3381" s="3" t="s">
        <v>67</v>
      </c>
    </row>
    <row r="3382" spans="1:11" ht="42" customHeight="1">
      <c r="A3382" s="2" t="s">
        <v>8206</v>
      </c>
      <c r="B3382" s="2" t="s">
        <v>8207</v>
      </c>
      <c r="C3382" s="2" t="s">
        <v>80</v>
      </c>
      <c r="D3382" s="2" t="s">
        <v>81</v>
      </c>
      <c r="E3382" s="5">
        <v>-29227</v>
      </c>
      <c r="F3382" s="3" t="s">
        <v>98</v>
      </c>
      <c r="G3382" s="3" t="s">
        <v>55</v>
      </c>
      <c r="H3382" s="2" t="s">
        <v>65</v>
      </c>
      <c r="I3382" s="2" t="s">
        <v>8269</v>
      </c>
      <c r="J3382" s="3" t="str">
        <f>HYPERLINK("https://www.boe.es/gazeta/dias/1819/12/23/pdfs/GMD-1819-157.pdf#page=7","Abrir facsímil")</f>
        <v>Abrir facsímil</v>
      </c>
      <c r="K3382" s="3" t="s">
        <v>67</v>
      </c>
    </row>
    <row r="3383" spans="1:11" ht="42" customHeight="1">
      <c r="A3383" s="2" t="s">
        <v>8270</v>
      </c>
      <c r="B3383" s="2" t="s">
        <v>8271</v>
      </c>
      <c r="C3383" s="2" t="s">
        <v>63</v>
      </c>
      <c r="D3383" s="2" t="s">
        <v>43</v>
      </c>
      <c r="E3383" s="5">
        <v>-29516</v>
      </c>
      <c r="F3383" s="3" t="s">
        <v>137</v>
      </c>
      <c r="G3383" s="3" t="s">
        <v>138</v>
      </c>
      <c r="H3383" s="2" t="s">
        <v>65</v>
      </c>
      <c r="I3383" s="2" t="s">
        <v>8272</v>
      </c>
      <c r="J3383" s="3" t="str">
        <f>HYPERLINK("https://www.boe.es/gazeta/dias/1819/03/09/pdfs/GMD-1819-29.pdf#page=12","Abrir facsímil")</f>
        <v>Abrir facsímil</v>
      </c>
      <c r="K3383" s="3" t="s">
        <v>67</v>
      </c>
    </row>
    <row r="3384" spans="1:11" ht="42" customHeight="1">
      <c r="A3384" s="2" t="s">
        <v>8273</v>
      </c>
      <c r="B3384" s="2" t="s">
        <v>8274</v>
      </c>
      <c r="C3384" s="2" t="s">
        <v>215</v>
      </c>
      <c r="D3384" s="2" t="s">
        <v>18</v>
      </c>
      <c r="E3384" s="5">
        <v>-29288</v>
      </c>
      <c r="F3384" s="3" t="s">
        <v>334</v>
      </c>
      <c r="G3384" s="3" t="s">
        <v>28</v>
      </c>
      <c r="H3384" s="2" t="s">
        <v>65</v>
      </c>
      <c r="I3384" s="2" t="s">
        <v>8275</v>
      </c>
      <c r="J3384" s="3" t="str">
        <f>HYPERLINK("https://www.boe.es/gazeta/dias/1819/10/23/pdfs/GMD-1819-130.pdf#page=8","Abrir facsímil")</f>
        <v>Abrir facsímil</v>
      </c>
      <c r="K3384" s="3" t="s">
        <v>67</v>
      </c>
    </row>
    <row r="3385" spans="1:11" ht="42" customHeight="1">
      <c r="A3385" s="2" t="s">
        <v>8276</v>
      </c>
      <c r="B3385" s="2" t="s">
        <v>8277</v>
      </c>
      <c r="C3385" s="2" t="s">
        <v>63</v>
      </c>
      <c r="D3385" s="2" t="s">
        <v>43</v>
      </c>
      <c r="E3385" s="5">
        <v>-29283</v>
      </c>
      <c r="F3385" s="3" t="s">
        <v>863</v>
      </c>
      <c r="G3385" s="3" t="s">
        <v>28</v>
      </c>
      <c r="H3385" s="2" t="s">
        <v>65</v>
      </c>
      <c r="I3385" s="2" t="s">
        <v>8278</v>
      </c>
      <c r="J3385" s="3" t="str">
        <f>HYPERLINK("https://www.boe.es/gazeta/dias/1819/10/28/pdfs/GMD-1819-133.pdf#page=8","Abrir facsímil")</f>
        <v>Abrir facsímil</v>
      </c>
      <c r="K3385" s="3" t="s">
        <v>67</v>
      </c>
    </row>
    <row r="3386" spans="1:11" ht="42" customHeight="1">
      <c r="A3386" s="2" t="s">
        <v>8279</v>
      </c>
      <c r="B3386" s="2" t="s">
        <v>8280</v>
      </c>
      <c r="C3386" s="2" t="s">
        <v>63</v>
      </c>
      <c r="D3386" s="2" t="s">
        <v>43</v>
      </c>
      <c r="E3386" s="5">
        <v>-29397</v>
      </c>
      <c r="F3386" s="3" t="s">
        <v>599</v>
      </c>
      <c r="G3386" s="3" t="s">
        <v>28</v>
      </c>
      <c r="H3386" s="2" t="s">
        <v>65</v>
      </c>
      <c r="I3386" s="2" t="s">
        <v>8281</v>
      </c>
      <c r="J3386" s="3" t="str">
        <f>HYPERLINK("https://www.boe.es/gazeta/dias/1819/07/06/pdfs/GMD-1819-81.pdf#page=8","Abrir facsímil")</f>
        <v>Abrir facsímil</v>
      </c>
      <c r="K3386" s="3" t="s">
        <v>67</v>
      </c>
    </row>
    <row r="3387" spans="1:11" ht="42" customHeight="1">
      <c r="A3387" s="2" t="s">
        <v>8282</v>
      </c>
      <c r="B3387" s="2" t="s">
        <v>8283</v>
      </c>
      <c r="C3387" s="2" t="s">
        <v>136</v>
      </c>
      <c r="D3387" s="2" t="s">
        <v>18</v>
      </c>
      <c r="E3387" s="5">
        <v>-29302</v>
      </c>
      <c r="F3387" s="3" t="s">
        <v>4877</v>
      </c>
      <c r="G3387" s="3" t="s">
        <v>4878</v>
      </c>
      <c r="H3387" s="2" t="s">
        <v>65</v>
      </c>
      <c r="I3387" s="2" t="s">
        <v>8284</v>
      </c>
      <c r="J3387" s="3" t="str">
        <f>HYPERLINK("https://www.boe.es/gazeta/dias/1819/10/09/pdfs/GMD-1819-124.pdf#page=8","Abrir facsímil")</f>
        <v>Abrir facsímil</v>
      </c>
      <c r="K3387" s="3" t="s">
        <v>67</v>
      </c>
    </row>
    <row r="3388" spans="1:11" ht="42" customHeight="1">
      <c r="A3388" s="2" t="s">
        <v>8285</v>
      </c>
      <c r="B3388" s="2" t="s">
        <v>8286</v>
      </c>
      <c r="C3388" s="2" t="s">
        <v>63</v>
      </c>
      <c r="D3388" s="2" t="s">
        <v>43</v>
      </c>
      <c r="E3388" s="5">
        <v>-29554</v>
      </c>
      <c r="F3388" s="3" t="s">
        <v>150</v>
      </c>
      <c r="G3388" s="3" t="s">
        <v>28</v>
      </c>
      <c r="H3388" s="2" t="s">
        <v>65</v>
      </c>
      <c r="I3388" s="2" t="s">
        <v>8287</v>
      </c>
      <c r="J3388" s="3" t="str">
        <f>HYPERLINK("https://www.boe.es/gazeta/dias/1819/01/30/pdfs/GMD-1819-13.pdf#page=8","Abrir facsímil")</f>
        <v>Abrir facsímil</v>
      </c>
      <c r="K3388" s="3" t="s">
        <v>67</v>
      </c>
    </row>
    <row r="3389" spans="1:11" ht="42" customHeight="1">
      <c r="A3389" s="2" t="s">
        <v>8285</v>
      </c>
      <c r="B3389" s="2" t="s">
        <v>8286</v>
      </c>
      <c r="C3389" s="2" t="s">
        <v>80</v>
      </c>
      <c r="D3389" s="2" t="s">
        <v>81</v>
      </c>
      <c r="E3389" s="5">
        <v>-29439</v>
      </c>
      <c r="F3389" s="3" t="s">
        <v>1101</v>
      </c>
      <c r="G3389" s="3" t="s">
        <v>1960</v>
      </c>
      <c r="H3389" s="2" t="s">
        <v>65</v>
      </c>
      <c r="I3389" s="2" t="s">
        <v>8288</v>
      </c>
      <c r="J3389" s="3" t="str">
        <f>HYPERLINK("https://www.boe.es/gazeta/dias/1819/05/25/pdfs/GMD-1819-62.pdf#page=8","Abrir facsímil")</f>
        <v>Abrir facsímil</v>
      </c>
      <c r="K3389" s="3" t="s">
        <v>67</v>
      </c>
    </row>
    <row r="3390" spans="1:11" ht="42" customHeight="1">
      <c r="A3390" s="2" t="s">
        <v>8289</v>
      </c>
      <c r="B3390" s="2" t="s">
        <v>8290</v>
      </c>
      <c r="C3390" s="2" t="s">
        <v>80</v>
      </c>
      <c r="D3390" s="2" t="s">
        <v>81</v>
      </c>
      <c r="E3390" s="5">
        <v>-29526</v>
      </c>
      <c r="F3390" s="3" t="s">
        <v>307</v>
      </c>
      <c r="G3390" s="3" t="s">
        <v>55</v>
      </c>
      <c r="H3390" s="2" t="s">
        <v>65</v>
      </c>
      <c r="I3390" s="2" t="s">
        <v>8291</v>
      </c>
      <c r="J3390" s="3" t="str">
        <f>HYPERLINK("https://www.boe.es/gazeta/dias/1819/02/27/pdfs/GMD-1819-25.pdf#page=7","Abrir facsímil")</f>
        <v>Abrir facsímil</v>
      </c>
      <c r="K3390" s="3" t="s">
        <v>67</v>
      </c>
    </row>
    <row r="3391" spans="1:11" ht="42" customHeight="1">
      <c r="A3391" s="2" t="s">
        <v>8292</v>
      </c>
      <c r="B3391" s="2" t="s">
        <v>8292</v>
      </c>
      <c r="C3391" s="2" t="s">
        <v>80</v>
      </c>
      <c r="D3391" s="2" t="s">
        <v>81</v>
      </c>
      <c r="E3391" s="5">
        <v>-29577</v>
      </c>
      <c r="F3391" s="3" t="s">
        <v>1008</v>
      </c>
      <c r="G3391" s="3" t="s">
        <v>33</v>
      </c>
      <c r="H3391" s="2" t="s">
        <v>65</v>
      </c>
      <c r="I3391" s="2" t="s">
        <v>8293</v>
      </c>
      <c r="J3391" s="3" t="str">
        <f>HYPERLINK("https://www.boe.es/gazeta/dias/1819/01/07/pdfs/GMD-1819-3.pdf#page=6","Abrir facsímil")</f>
        <v>Abrir facsímil</v>
      </c>
      <c r="K3391" s="3" t="s">
        <v>67</v>
      </c>
    </row>
    <row r="3392" spans="1:11" ht="42" customHeight="1">
      <c r="A3392" s="2" t="s">
        <v>8294</v>
      </c>
      <c r="B3392" s="2" t="s">
        <v>8295</v>
      </c>
      <c r="C3392" s="2" t="s">
        <v>42</v>
      </c>
      <c r="D3392" s="2" t="s">
        <v>43</v>
      </c>
      <c r="E3392" s="5">
        <v>-29299</v>
      </c>
      <c r="F3392" s="3" t="s">
        <v>798</v>
      </c>
      <c r="G3392" s="3" t="s">
        <v>1562</v>
      </c>
      <c r="H3392" s="2" t="s">
        <v>65</v>
      </c>
      <c r="I3392" s="2" t="s">
        <v>8296</v>
      </c>
      <c r="J3392" s="3" t="str">
        <f>HYPERLINK("https://www.boe.es/gazeta/dias/1819/10/12/pdfs/GMD-1819-125.pdf#page=8","Abrir facsímil")</f>
        <v>Abrir facsímil</v>
      </c>
      <c r="K3392" s="3" t="s">
        <v>67</v>
      </c>
    </row>
    <row r="3393" spans="1:11" ht="42" customHeight="1">
      <c r="A3393" s="2" t="s">
        <v>8297</v>
      </c>
      <c r="B3393" s="2" t="s">
        <v>8298</v>
      </c>
      <c r="C3393" s="2" t="s">
        <v>63</v>
      </c>
      <c r="D3393" s="2" t="s">
        <v>43</v>
      </c>
      <c r="E3393" s="5">
        <v>-29460</v>
      </c>
      <c r="F3393" s="3" t="s">
        <v>1534</v>
      </c>
      <c r="G3393" s="3" t="s">
        <v>296</v>
      </c>
      <c r="H3393" s="2" t="s">
        <v>65</v>
      </c>
      <c r="I3393" s="2" t="s">
        <v>8299</v>
      </c>
      <c r="J3393" s="3" t="str">
        <f>HYPERLINK("https://www.boe.es/gazeta/dias/1819/05/04/pdfs/GMD-1819-53.pdf#page=4","Abrir facsímil")</f>
        <v>Abrir facsímil</v>
      </c>
      <c r="K3393" s="3" t="s">
        <v>67</v>
      </c>
    </row>
    <row r="3394" spans="1:11" ht="42" customHeight="1">
      <c r="A3394" s="2" t="s">
        <v>8300</v>
      </c>
      <c r="B3394" s="2" t="s">
        <v>8301</v>
      </c>
      <c r="C3394" s="2" t="s">
        <v>59</v>
      </c>
      <c r="D3394" s="2" t="s">
        <v>18</v>
      </c>
      <c r="E3394" s="5">
        <v>-29407</v>
      </c>
      <c r="F3394" s="3" t="s">
        <v>64</v>
      </c>
      <c r="G3394" s="3" t="s">
        <v>33</v>
      </c>
      <c r="H3394" s="2" t="s">
        <v>65</v>
      </c>
      <c r="I3394" s="2" t="s">
        <v>8302</v>
      </c>
      <c r="J3394" s="3" t="str">
        <f>HYPERLINK("https://www.boe.es/gazeta/dias/1819/06/26/pdfs/GMD-1819-77.pdf#page=6","Abrir facsímil")</f>
        <v>Abrir facsímil</v>
      </c>
      <c r="K3394" s="3" t="s">
        <v>67</v>
      </c>
    </row>
    <row r="3395" spans="1:11" ht="42" customHeight="1">
      <c r="A3395" s="2" t="s">
        <v>8303</v>
      </c>
      <c r="B3395" s="2" t="s">
        <v>8304</v>
      </c>
      <c r="C3395" s="2" t="s">
        <v>63</v>
      </c>
      <c r="D3395" s="2" t="s">
        <v>43</v>
      </c>
      <c r="E3395" s="5">
        <v>-29253</v>
      </c>
      <c r="F3395" s="3" t="s">
        <v>242</v>
      </c>
      <c r="G3395" s="3" t="s">
        <v>2986</v>
      </c>
      <c r="H3395" s="2" t="s">
        <v>65</v>
      </c>
      <c r="I3395" s="2" t="s">
        <v>8305</v>
      </c>
      <c r="J3395" s="3" t="str">
        <f>HYPERLINK("https://www.boe.es/gazeta/dias/1819/11/27/pdfs/GMD-1819-146.pdf#page=8","Abrir facsímil")</f>
        <v>Abrir facsímil</v>
      </c>
      <c r="K3395" s="3" t="s">
        <v>67</v>
      </c>
    </row>
    <row r="3396" spans="1:11" ht="42" customHeight="1">
      <c r="A3396" s="2" t="s">
        <v>8306</v>
      </c>
      <c r="B3396" s="2" t="s">
        <v>8307</v>
      </c>
      <c r="C3396" s="2" t="s">
        <v>80</v>
      </c>
      <c r="D3396" s="2" t="s">
        <v>81</v>
      </c>
      <c r="E3396" s="5">
        <v>-29575</v>
      </c>
      <c r="F3396" s="3" t="s">
        <v>77</v>
      </c>
      <c r="G3396" s="3" t="s">
        <v>296</v>
      </c>
      <c r="H3396" s="2" t="s">
        <v>65</v>
      </c>
      <c r="I3396" s="2" t="s">
        <v>8308</v>
      </c>
      <c r="J3396" s="3" t="str">
        <f>HYPERLINK("https://www.boe.es/gazeta/dias/1819/01/09/pdfs/GMD-1819-4.pdf#page=4","Abrir facsímil")</f>
        <v>Abrir facsímil</v>
      </c>
      <c r="K3396" s="3" t="s">
        <v>67</v>
      </c>
    </row>
    <row r="3397" spans="1:11" ht="42" customHeight="1">
      <c r="A3397" s="2" t="s">
        <v>8306</v>
      </c>
      <c r="B3397" s="2" t="s">
        <v>8307</v>
      </c>
      <c r="C3397" s="2" t="s">
        <v>80</v>
      </c>
      <c r="D3397" s="2" t="s">
        <v>81</v>
      </c>
      <c r="E3397" s="5">
        <v>-29544</v>
      </c>
      <c r="F3397" s="3" t="s">
        <v>531</v>
      </c>
      <c r="G3397" s="3" t="s">
        <v>38</v>
      </c>
      <c r="H3397" s="2" t="s">
        <v>65</v>
      </c>
      <c r="I3397" s="2" t="s">
        <v>8309</v>
      </c>
      <c r="J3397" s="3" t="str">
        <f>HYPERLINK("https://www.boe.es/gazeta/dias/1819/02/09/pdfs/GMD-1819-17.pdf#page=5","Abrir facsímil")</f>
        <v>Abrir facsímil</v>
      </c>
      <c r="K3397" s="3" t="s">
        <v>67</v>
      </c>
    </row>
    <row r="3398" spans="1:11" ht="42" customHeight="1">
      <c r="A3398" s="2" t="s">
        <v>8306</v>
      </c>
      <c r="B3398" s="2" t="s">
        <v>8307</v>
      </c>
      <c r="C3398" s="2" t="s">
        <v>246</v>
      </c>
      <c r="D3398" s="2" t="s">
        <v>18</v>
      </c>
      <c r="E3398" s="5">
        <v>-29390</v>
      </c>
      <c r="F3398" s="3" t="s">
        <v>263</v>
      </c>
      <c r="G3398" s="3" t="s">
        <v>33</v>
      </c>
      <c r="H3398" s="2" t="s">
        <v>65</v>
      </c>
      <c r="I3398" s="2" t="s">
        <v>8310</v>
      </c>
      <c r="J3398" s="3" t="str">
        <f>HYPERLINK("https://www.boe.es/gazeta/dias/1819/07/13/pdfs/GMD-1819-84.pdf#page=6","Abrir facsímil")</f>
        <v>Abrir facsímil</v>
      </c>
      <c r="K3398" s="3" t="s">
        <v>67</v>
      </c>
    </row>
    <row r="3399" spans="1:11" ht="42" customHeight="1">
      <c r="A3399" s="2" t="s">
        <v>8306</v>
      </c>
      <c r="B3399" s="2" t="s">
        <v>8307</v>
      </c>
      <c r="C3399" s="2" t="s">
        <v>215</v>
      </c>
      <c r="D3399" s="2" t="s">
        <v>18</v>
      </c>
      <c r="E3399" s="5">
        <v>-29390</v>
      </c>
      <c r="F3399" s="3" t="s">
        <v>263</v>
      </c>
      <c r="G3399" s="3" t="s">
        <v>28</v>
      </c>
      <c r="H3399" s="2" t="s">
        <v>65</v>
      </c>
      <c r="I3399" s="2" t="s">
        <v>8311</v>
      </c>
      <c r="J3399" s="3" t="str">
        <f>HYPERLINK("https://www.boe.es/gazeta/dias/1819/07/13/pdfs/GMD-1819-84.pdf#page=8","Abrir facsímil")</f>
        <v>Abrir facsímil</v>
      </c>
      <c r="K3399" s="3" t="s">
        <v>67</v>
      </c>
    </row>
    <row r="3400" spans="1:11" ht="42" customHeight="1">
      <c r="A3400" s="2" t="s">
        <v>8312</v>
      </c>
      <c r="B3400" s="2" t="s">
        <v>8313</v>
      </c>
      <c r="C3400" s="2" t="s">
        <v>80</v>
      </c>
      <c r="D3400" s="2" t="s">
        <v>81</v>
      </c>
      <c r="E3400" s="5">
        <v>-29470</v>
      </c>
      <c r="F3400" s="3" t="s">
        <v>1188</v>
      </c>
      <c r="G3400" s="3" t="s">
        <v>38</v>
      </c>
      <c r="H3400" s="2" t="s">
        <v>65</v>
      </c>
      <c r="I3400" s="2" t="s">
        <v>8314</v>
      </c>
      <c r="J3400" s="3" t="str">
        <f>HYPERLINK("https://www.boe.es/gazeta/dias/1819/04/24/pdfs/GMD-1819-49.pdf#page=5","Abrir facsímil")</f>
        <v>Abrir facsímil</v>
      </c>
      <c r="K3400" s="3" t="s">
        <v>67</v>
      </c>
    </row>
    <row r="3401" spans="1:11" ht="42" customHeight="1">
      <c r="A3401" s="2" t="s">
        <v>8315</v>
      </c>
      <c r="B3401" s="2" t="s">
        <v>8316</v>
      </c>
      <c r="C3401" s="2" t="s">
        <v>136</v>
      </c>
      <c r="D3401" s="2" t="s">
        <v>18</v>
      </c>
      <c r="E3401" s="5">
        <v>-29236</v>
      </c>
      <c r="F3401" s="3" t="s">
        <v>379</v>
      </c>
      <c r="G3401" s="3" t="s">
        <v>28</v>
      </c>
      <c r="H3401" s="2" t="s">
        <v>65</v>
      </c>
      <c r="I3401" s="2" t="s">
        <v>8317</v>
      </c>
      <c r="J3401" s="3" t="str">
        <f>HYPERLINK("https://www.boe.es/gazeta/dias/1819/12/14/pdfs/GMD-1819-153.pdf#page=8","Abrir facsímil")</f>
        <v>Abrir facsímil</v>
      </c>
      <c r="K3401" s="3" t="s">
        <v>67</v>
      </c>
    </row>
    <row r="3402" spans="1:11" ht="42" customHeight="1">
      <c r="A3402" s="2" t="s">
        <v>8318</v>
      </c>
      <c r="B3402" s="2" t="s">
        <v>8319</v>
      </c>
      <c r="C3402" s="2" t="s">
        <v>59</v>
      </c>
      <c r="D3402" s="2" t="s">
        <v>18</v>
      </c>
      <c r="E3402" s="5">
        <v>-29407</v>
      </c>
      <c r="F3402" s="3" t="s">
        <v>64</v>
      </c>
      <c r="G3402" s="3" t="s">
        <v>33</v>
      </c>
      <c r="H3402" s="2" t="s">
        <v>65</v>
      </c>
      <c r="I3402" s="2" t="s">
        <v>8320</v>
      </c>
      <c r="J3402" s="3" t="str">
        <f>HYPERLINK("https://www.boe.es/gazeta/dias/1819/06/26/pdfs/GMD-1819-77.pdf#page=6","Abrir facsímil")</f>
        <v>Abrir facsímil</v>
      </c>
      <c r="K3402" s="3" t="s">
        <v>67</v>
      </c>
    </row>
    <row r="3403" spans="1:11" ht="42" customHeight="1">
      <c r="A3403" s="2" t="s">
        <v>8321</v>
      </c>
      <c r="B3403" s="2" t="s">
        <v>8321</v>
      </c>
      <c r="C3403" s="2" t="s">
        <v>26</v>
      </c>
      <c r="D3403" s="2" t="s">
        <v>18</v>
      </c>
      <c r="E3403" s="5">
        <v>-29507</v>
      </c>
      <c r="F3403" s="3" t="s">
        <v>1928</v>
      </c>
      <c r="G3403" s="3" t="s">
        <v>259</v>
      </c>
      <c r="H3403" s="2" t="s">
        <v>65</v>
      </c>
      <c r="I3403" s="2" t="s">
        <v>8322</v>
      </c>
      <c r="J3403" s="3" t="str">
        <f>HYPERLINK("https://www.boe.es/gazeta/dias/1819/03/18/pdfs/GMD-1819-33.pdf#page=2","Abrir facsímil")</f>
        <v>Abrir facsímil</v>
      </c>
      <c r="K3403" s="3" t="s">
        <v>67</v>
      </c>
    </row>
    <row r="3404" spans="1:11" ht="42" customHeight="1">
      <c r="A3404" s="2" t="s">
        <v>8323</v>
      </c>
      <c r="B3404" s="2" t="s">
        <v>8323</v>
      </c>
      <c r="C3404" s="2" t="s">
        <v>80</v>
      </c>
      <c r="D3404" s="2" t="s">
        <v>81</v>
      </c>
      <c r="E3404" s="5">
        <v>-29502</v>
      </c>
      <c r="F3404" s="3" t="s">
        <v>86</v>
      </c>
      <c r="G3404" s="3" t="s">
        <v>2658</v>
      </c>
      <c r="H3404" s="2" t="s">
        <v>65</v>
      </c>
      <c r="I3404" s="2" t="s">
        <v>8324</v>
      </c>
      <c r="J3404" s="3" t="str">
        <f>HYPERLINK("https://www.boe.es/gazeta/dias/1819/03/23/pdfs/GMD-1819-35.pdf#page=4","Abrir facsímil")</f>
        <v>Abrir facsímil</v>
      </c>
      <c r="K3404" s="3" t="s">
        <v>67</v>
      </c>
    </row>
    <row r="3405" spans="1:11" ht="42" customHeight="1">
      <c r="A3405" s="2" t="s">
        <v>8325</v>
      </c>
      <c r="B3405" s="2" t="s">
        <v>8326</v>
      </c>
      <c r="C3405" s="2" t="s">
        <v>59</v>
      </c>
      <c r="D3405" s="2" t="s">
        <v>18</v>
      </c>
      <c r="E3405" s="5">
        <v>-29498</v>
      </c>
      <c r="F3405" s="3" t="s">
        <v>119</v>
      </c>
      <c r="G3405" s="3" t="s">
        <v>8327</v>
      </c>
      <c r="H3405" s="2" t="s">
        <v>65</v>
      </c>
      <c r="I3405" s="2" t="s">
        <v>8328</v>
      </c>
      <c r="J3405" s="3" t="str">
        <f>HYPERLINK("https://www.boe.es/gazeta/dias/1819/03/27/pdfs/GMD-1819-37.pdf#page=2","Abrir facsímil")</f>
        <v>Abrir facsímil</v>
      </c>
      <c r="K3405" s="3" t="s">
        <v>67</v>
      </c>
    </row>
    <row r="3406" spans="1:11" ht="42" customHeight="1">
      <c r="A3406" s="2" t="s">
        <v>8329</v>
      </c>
      <c r="B3406" s="2" t="s">
        <v>8330</v>
      </c>
      <c r="C3406" s="2" t="s">
        <v>26</v>
      </c>
      <c r="D3406" s="2" t="s">
        <v>18</v>
      </c>
      <c r="E3406" s="5">
        <v>-29421</v>
      </c>
      <c r="F3406" s="3" t="s">
        <v>1972</v>
      </c>
      <c r="G3406" s="3" t="s">
        <v>2742</v>
      </c>
      <c r="H3406" s="2" t="s">
        <v>65</v>
      </c>
      <c r="I3406" s="2" t="s">
        <v>8331</v>
      </c>
      <c r="J3406" s="3" t="str">
        <f>HYPERLINK("https://www.boe.es/gazeta/dias/1819/06/12/pdfs/GMD-1819-70.pdf#page=4","Abrir facsímil")</f>
        <v>Abrir facsímil</v>
      </c>
      <c r="K3406" s="3" t="s">
        <v>67</v>
      </c>
    </row>
    <row r="3407" spans="1:11" ht="42" customHeight="1">
      <c r="A3407" s="2" t="s">
        <v>8332</v>
      </c>
      <c r="B3407" s="2" t="s">
        <v>8333</v>
      </c>
      <c r="C3407" s="2" t="s">
        <v>63</v>
      </c>
      <c r="D3407" s="2" t="s">
        <v>43</v>
      </c>
      <c r="E3407" s="5">
        <v>-29348</v>
      </c>
      <c r="F3407" s="3" t="s">
        <v>227</v>
      </c>
      <c r="G3407" s="3" t="s">
        <v>28</v>
      </c>
      <c r="H3407" s="2" t="s">
        <v>65</v>
      </c>
      <c r="I3407" s="2" t="s">
        <v>8334</v>
      </c>
      <c r="J3407" s="3" t="str">
        <f>HYPERLINK("https://www.boe.es/gazeta/dias/1819/08/24/pdfs/GMD-1819-102.pdf#page=8","Abrir facsímil")</f>
        <v>Abrir facsímil</v>
      </c>
      <c r="K3407" s="3" t="s">
        <v>67</v>
      </c>
    </row>
    <row r="3408" spans="1:11" ht="42" customHeight="1">
      <c r="A3408" s="2" t="s">
        <v>8335</v>
      </c>
      <c r="B3408" s="2" t="s">
        <v>8336</v>
      </c>
      <c r="C3408" s="2" t="s">
        <v>17</v>
      </c>
      <c r="D3408" s="2" t="s">
        <v>18</v>
      </c>
      <c r="E3408" s="5">
        <v>-29229</v>
      </c>
      <c r="F3408" s="3" t="s">
        <v>44</v>
      </c>
      <c r="G3408" s="3" t="s">
        <v>296</v>
      </c>
      <c r="H3408" s="2" t="s">
        <v>21</v>
      </c>
      <c r="I3408" s="2" t="s">
        <v>8337</v>
      </c>
      <c r="J3408" s="3" t="str">
        <f>HYPERLINK("https://www.boe.es/gazeta/dias/1819/12/21/pdfs/GMD-1819-156.pdf#page=4","Abrir facsímil")</f>
        <v>Abrir facsímil</v>
      </c>
      <c r="K3408" s="3" t="s">
        <v>23</v>
      </c>
    </row>
    <row r="3409" spans="1:11" ht="42" customHeight="1">
      <c r="A3409" s="2" t="s">
        <v>8338</v>
      </c>
      <c r="B3409" s="2" t="s">
        <v>8339</v>
      </c>
      <c r="C3409" s="2" t="s">
        <v>17</v>
      </c>
      <c r="D3409" s="2" t="s">
        <v>18</v>
      </c>
      <c r="E3409" s="5">
        <v>-29271</v>
      </c>
      <c r="F3409" s="3" t="s">
        <v>32</v>
      </c>
      <c r="G3409" s="3" t="s">
        <v>33</v>
      </c>
      <c r="H3409" s="2" t="s">
        <v>21</v>
      </c>
      <c r="I3409" s="2" t="s">
        <v>8340</v>
      </c>
      <c r="J3409" s="3" t="str">
        <f>HYPERLINK("https://www.boe.es/gazeta/dias/1819/11/09/pdfs/GMD-1819-138.pdf#page=6","Abrir facsímil")</f>
        <v>Abrir facsímil</v>
      </c>
      <c r="K3409" s="3" t="s">
        <v>23</v>
      </c>
    </row>
    <row r="3410" spans="1:11" ht="42" customHeight="1">
      <c r="A3410" s="2" t="s">
        <v>8341</v>
      </c>
      <c r="B3410" s="2" t="s">
        <v>8342</v>
      </c>
      <c r="C3410" s="2" t="s">
        <v>17</v>
      </c>
      <c r="D3410" s="2" t="s">
        <v>18</v>
      </c>
      <c r="E3410" s="5">
        <v>-29222</v>
      </c>
      <c r="F3410" s="3" t="s">
        <v>338</v>
      </c>
      <c r="G3410" s="3" t="s">
        <v>38</v>
      </c>
      <c r="H3410" s="2" t="s">
        <v>21</v>
      </c>
      <c r="I3410" s="2" t="s">
        <v>8343</v>
      </c>
      <c r="J3410" s="3" t="str">
        <f>HYPERLINK("https://www.boe.es/gazeta/dias/1819/12/28/pdfs/GMD-1819-159.pdf#page=5","Abrir facsímil")</f>
        <v>Abrir facsímil</v>
      </c>
      <c r="K3410" s="3" t="s">
        <v>23</v>
      </c>
    </row>
    <row r="3411" spans="1:11" ht="42" customHeight="1">
      <c r="A3411" s="2" t="s">
        <v>8344</v>
      </c>
      <c r="B3411" s="2" t="s">
        <v>8345</v>
      </c>
      <c r="C3411" s="2" t="s">
        <v>59</v>
      </c>
      <c r="D3411" s="2" t="s">
        <v>18</v>
      </c>
      <c r="E3411" s="5">
        <v>-29276</v>
      </c>
      <c r="F3411" s="3" t="s">
        <v>54</v>
      </c>
      <c r="G3411" s="3" t="s">
        <v>55</v>
      </c>
      <c r="H3411" s="2" t="s">
        <v>21</v>
      </c>
      <c r="I3411" s="2" t="s">
        <v>8346</v>
      </c>
      <c r="J3411" s="3" t="str">
        <f>HYPERLINK("https://www.boe.es/gazeta/dias/1819/11/04/pdfs/GMD-1819-136.pdf#page=7","Abrir facsímil")</f>
        <v>Abrir facsímil</v>
      </c>
      <c r="K3411" s="3" t="s">
        <v>23</v>
      </c>
    </row>
    <row r="3412" spans="1:11" ht="42" customHeight="1">
      <c r="A3412" s="2" t="s">
        <v>8347</v>
      </c>
      <c r="B3412" s="2" t="s">
        <v>8348</v>
      </c>
      <c r="C3412" s="2" t="s">
        <v>17</v>
      </c>
      <c r="D3412" s="2" t="s">
        <v>18</v>
      </c>
      <c r="E3412" s="5">
        <v>-29271</v>
      </c>
      <c r="F3412" s="3" t="s">
        <v>32</v>
      </c>
      <c r="G3412" s="3" t="s">
        <v>33</v>
      </c>
      <c r="H3412" s="2" t="s">
        <v>21</v>
      </c>
      <c r="I3412" s="2" t="s">
        <v>8349</v>
      </c>
      <c r="J3412" s="3" t="str">
        <f>HYPERLINK("https://www.boe.es/gazeta/dias/1819/11/09/pdfs/GMD-1819-138.pdf#page=6","Abrir facsímil")</f>
        <v>Abrir facsímil</v>
      </c>
      <c r="K3412" s="3" t="s">
        <v>23</v>
      </c>
    </row>
    <row r="3413" spans="1:11" ht="42" customHeight="1">
      <c r="A3413" s="2" t="s">
        <v>8350</v>
      </c>
      <c r="B3413" s="2" t="s">
        <v>8351</v>
      </c>
      <c r="C3413" s="2" t="s">
        <v>63</v>
      </c>
      <c r="D3413" s="2" t="s">
        <v>43</v>
      </c>
      <c r="E3413" s="5">
        <v>-29563</v>
      </c>
      <c r="F3413" s="3" t="s">
        <v>1087</v>
      </c>
      <c r="G3413" s="3" t="s">
        <v>28</v>
      </c>
      <c r="H3413" s="2" t="s">
        <v>21</v>
      </c>
      <c r="I3413" s="2" t="s">
        <v>8352</v>
      </c>
      <c r="J3413" s="3" t="str">
        <f>HYPERLINK("https://www.boe.es/gazeta/dias/1819/01/21/pdfs/GMD-1819-9.pdf#page=8","Abrir facsímil")</f>
        <v>Abrir facsímil</v>
      </c>
      <c r="K3413" s="3" t="s">
        <v>23</v>
      </c>
    </row>
    <row r="3414" spans="1:11" ht="42" customHeight="1">
      <c r="A3414" s="2" t="s">
        <v>8353</v>
      </c>
      <c r="B3414" s="2" t="s">
        <v>8354</v>
      </c>
      <c r="C3414" s="2" t="s">
        <v>17</v>
      </c>
      <c r="D3414" s="2" t="s">
        <v>18</v>
      </c>
      <c r="E3414" s="5">
        <v>-29264</v>
      </c>
      <c r="F3414" s="3" t="s">
        <v>37</v>
      </c>
      <c r="G3414" s="3" t="s">
        <v>38</v>
      </c>
      <c r="H3414" s="2" t="s">
        <v>21</v>
      </c>
      <c r="I3414" s="2" t="s">
        <v>8355</v>
      </c>
      <c r="J3414" s="3" t="str">
        <f>HYPERLINK("https://www.boe.es/gazeta/dias/1819/11/16/pdfs/GMD-1819-141.pdf#page=5","Abrir facsímil")</f>
        <v>Abrir facsímil</v>
      </c>
      <c r="K3414" s="3" t="s">
        <v>23</v>
      </c>
    </row>
    <row r="3415" spans="1:11" ht="42" customHeight="1">
      <c r="A3415" s="2" t="s">
        <v>8356</v>
      </c>
      <c r="B3415" s="2" t="s">
        <v>8357</v>
      </c>
      <c r="C3415" s="2" t="s">
        <v>17</v>
      </c>
      <c r="D3415" s="2" t="s">
        <v>18</v>
      </c>
      <c r="E3415" s="5">
        <v>-29271</v>
      </c>
      <c r="F3415" s="3" t="s">
        <v>32</v>
      </c>
      <c r="G3415" s="3" t="s">
        <v>33</v>
      </c>
      <c r="H3415" s="2" t="s">
        <v>21</v>
      </c>
      <c r="I3415" s="2" t="s">
        <v>8358</v>
      </c>
      <c r="J3415" s="3" t="str">
        <f>HYPERLINK("https://www.boe.es/gazeta/dias/1819/11/09/pdfs/GMD-1819-138.pdf#page=6","Abrir facsímil")</f>
        <v>Abrir facsímil</v>
      </c>
      <c r="K3415" s="3" t="s">
        <v>23</v>
      </c>
    </row>
    <row r="3416" spans="1:11" ht="42" customHeight="1">
      <c r="A3416" s="2" t="s">
        <v>8359</v>
      </c>
      <c r="B3416" s="2" t="s">
        <v>8360</v>
      </c>
      <c r="C3416" s="2" t="s">
        <v>136</v>
      </c>
      <c r="D3416" s="2" t="s">
        <v>18</v>
      </c>
      <c r="E3416" s="5">
        <v>-29509</v>
      </c>
      <c r="F3416" s="3" t="s">
        <v>942</v>
      </c>
      <c r="G3416" s="3" t="s">
        <v>28</v>
      </c>
      <c r="H3416" s="2" t="s">
        <v>21</v>
      </c>
      <c r="I3416" s="2" t="s">
        <v>8361</v>
      </c>
      <c r="J3416" s="3" t="str">
        <f>HYPERLINK("https://www.boe.es/gazeta/dias/1819/03/16/pdfs/GMD-1819-32.pdf#page=8","Abrir facsímil")</f>
        <v>Abrir facsímil</v>
      </c>
      <c r="K3416" s="3" t="s">
        <v>23</v>
      </c>
    </row>
    <row r="3417" spans="1:11" ht="42" customHeight="1">
      <c r="A3417" s="2" t="s">
        <v>8362</v>
      </c>
      <c r="B3417" s="2" t="s">
        <v>8363</v>
      </c>
      <c r="C3417" s="2" t="s">
        <v>17</v>
      </c>
      <c r="D3417" s="2" t="s">
        <v>18</v>
      </c>
      <c r="E3417" s="5">
        <v>-29260</v>
      </c>
      <c r="F3417" s="3" t="s">
        <v>93</v>
      </c>
      <c r="G3417" s="3" t="s">
        <v>33</v>
      </c>
      <c r="H3417" s="2" t="s">
        <v>21</v>
      </c>
      <c r="I3417" s="2" t="s">
        <v>8364</v>
      </c>
      <c r="J3417" s="3" t="str">
        <f>HYPERLINK("https://www.boe.es/gazeta/dias/1819/11/20/pdfs/GMD-1819-143.pdf#page=6","Abrir facsímil")</f>
        <v>Abrir facsímil</v>
      </c>
      <c r="K3417" s="3" t="s">
        <v>23</v>
      </c>
    </row>
    <row r="3418" spans="1:11" ht="42" customHeight="1">
      <c r="A3418" s="2" t="s">
        <v>8365</v>
      </c>
      <c r="B3418" s="2" t="s">
        <v>8366</v>
      </c>
      <c r="C3418" s="2" t="s">
        <v>59</v>
      </c>
      <c r="D3418" s="2" t="s">
        <v>18</v>
      </c>
      <c r="E3418" s="5">
        <v>-29222</v>
      </c>
      <c r="F3418" s="3" t="s">
        <v>338</v>
      </c>
      <c r="G3418" s="3" t="s">
        <v>38</v>
      </c>
      <c r="H3418" s="2" t="s">
        <v>21</v>
      </c>
      <c r="I3418" s="2" t="s">
        <v>8367</v>
      </c>
      <c r="J3418" s="3" t="str">
        <f>HYPERLINK("https://www.boe.es/gazeta/dias/1819/12/28/pdfs/GMD-1819-159.pdf#page=5","Abrir facsímil")</f>
        <v>Abrir facsímil</v>
      </c>
      <c r="K3418" s="3" t="s">
        <v>23</v>
      </c>
    </row>
    <row r="3419" spans="1:11" ht="42" customHeight="1">
      <c r="A3419" s="2" t="s">
        <v>8368</v>
      </c>
      <c r="B3419" s="2" t="s">
        <v>8369</v>
      </c>
      <c r="C3419" s="2" t="s">
        <v>59</v>
      </c>
      <c r="D3419" s="2" t="s">
        <v>18</v>
      </c>
      <c r="E3419" s="5">
        <v>-29271</v>
      </c>
      <c r="F3419" s="3" t="s">
        <v>32</v>
      </c>
      <c r="G3419" s="3" t="s">
        <v>33</v>
      </c>
      <c r="H3419" s="2" t="s">
        <v>21</v>
      </c>
      <c r="I3419" s="2" t="s">
        <v>8370</v>
      </c>
      <c r="J3419" s="3" t="str">
        <f>HYPERLINK("https://www.boe.es/gazeta/dias/1819/11/09/pdfs/GMD-1819-138.pdf#page=6","Abrir facsímil")</f>
        <v>Abrir facsímil</v>
      </c>
      <c r="K3419" s="3" t="s">
        <v>23</v>
      </c>
    </row>
    <row r="3420" spans="1:11" ht="42" customHeight="1">
      <c r="A3420" s="2" t="s">
        <v>8368</v>
      </c>
      <c r="B3420" s="2" t="s">
        <v>8369</v>
      </c>
      <c r="C3420" s="2" t="s">
        <v>17</v>
      </c>
      <c r="D3420" s="2" t="s">
        <v>18</v>
      </c>
      <c r="E3420" s="5">
        <v>-29264</v>
      </c>
      <c r="F3420" s="3" t="s">
        <v>37</v>
      </c>
      <c r="G3420" s="3" t="s">
        <v>33</v>
      </c>
      <c r="H3420" s="2" t="s">
        <v>21</v>
      </c>
      <c r="I3420" s="2" t="s">
        <v>8371</v>
      </c>
      <c r="J3420" s="3" t="str">
        <f>HYPERLINK("https://www.boe.es/gazeta/dias/1819/11/16/pdfs/GMD-1819-141.pdf#page=6","Abrir facsímil")</f>
        <v>Abrir facsímil</v>
      </c>
      <c r="K3420" s="3" t="s">
        <v>23</v>
      </c>
    </row>
    <row r="3421" spans="1:11" ht="42" customHeight="1">
      <c r="A3421" s="2" t="s">
        <v>8372</v>
      </c>
      <c r="B3421" s="2" t="s">
        <v>8373</v>
      </c>
      <c r="C3421" s="2" t="s">
        <v>17</v>
      </c>
      <c r="D3421" s="2" t="s">
        <v>18</v>
      </c>
      <c r="E3421" s="5">
        <v>-29229</v>
      </c>
      <c r="F3421" s="3" t="s">
        <v>44</v>
      </c>
      <c r="G3421" s="3" t="s">
        <v>38</v>
      </c>
      <c r="H3421" s="2" t="s">
        <v>21</v>
      </c>
      <c r="I3421" s="2" t="s">
        <v>8374</v>
      </c>
      <c r="J3421" s="3" t="str">
        <f>HYPERLINK("https://www.boe.es/gazeta/dias/1819/12/21/pdfs/GMD-1819-156.pdf#page=5","Abrir facsímil")</f>
        <v>Abrir facsímil</v>
      </c>
      <c r="K3421" s="3" t="s">
        <v>23</v>
      </c>
    </row>
    <row r="3422" spans="1:11" ht="42" customHeight="1">
      <c r="A3422" s="2" t="s">
        <v>8375</v>
      </c>
      <c r="B3422" s="2" t="s">
        <v>8376</v>
      </c>
      <c r="C3422" s="2" t="s">
        <v>59</v>
      </c>
      <c r="D3422" s="2" t="s">
        <v>18</v>
      </c>
      <c r="E3422" s="5">
        <v>-29276</v>
      </c>
      <c r="F3422" s="3" t="s">
        <v>54</v>
      </c>
      <c r="G3422" s="3" t="s">
        <v>55</v>
      </c>
      <c r="H3422" s="2" t="s">
        <v>21</v>
      </c>
      <c r="I3422" s="2" t="s">
        <v>8377</v>
      </c>
      <c r="J3422" s="3" t="str">
        <f>HYPERLINK("https://www.boe.es/gazeta/dias/1819/11/04/pdfs/GMD-1819-136.pdf#page=7","Abrir facsímil")</f>
        <v>Abrir facsímil</v>
      </c>
      <c r="K3422" s="3" t="s">
        <v>23</v>
      </c>
    </row>
    <row r="3423" spans="1:11" ht="42" customHeight="1">
      <c r="A3423" s="2" t="s">
        <v>8378</v>
      </c>
      <c r="B3423" s="2" t="s">
        <v>8379</v>
      </c>
      <c r="C3423" s="2" t="s">
        <v>17</v>
      </c>
      <c r="D3423" s="2" t="s">
        <v>18</v>
      </c>
      <c r="E3423" s="5">
        <v>-29264</v>
      </c>
      <c r="F3423" s="3" t="s">
        <v>37</v>
      </c>
      <c r="G3423" s="3" t="s">
        <v>33</v>
      </c>
      <c r="H3423" s="2" t="s">
        <v>21</v>
      </c>
      <c r="I3423" s="2" t="s">
        <v>8380</v>
      </c>
      <c r="J3423" s="3" t="str">
        <f>HYPERLINK("https://www.boe.es/gazeta/dias/1819/11/16/pdfs/GMD-1819-141.pdf#page=6","Abrir facsímil")</f>
        <v>Abrir facsímil</v>
      </c>
      <c r="K3423" s="3" t="s">
        <v>23</v>
      </c>
    </row>
    <row r="3424" spans="1:11" ht="42" customHeight="1">
      <c r="A3424" s="2" t="s">
        <v>8381</v>
      </c>
      <c r="B3424" s="2" t="s">
        <v>8382</v>
      </c>
      <c r="C3424" s="2" t="s">
        <v>59</v>
      </c>
      <c r="D3424" s="2" t="s">
        <v>18</v>
      </c>
      <c r="E3424" s="5">
        <v>-29229</v>
      </c>
      <c r="F3424" s="3" t="s">
        <v>44</v>
      </c>
      <c r="G3424" s="3" t="s">
        <v>38</v>
      </c>
      <c r="H3424" s="2" t="s">
        <v>21</v>
      </c>
      <c r="I3424" s="2" t="s">
        <v>8383</v>
      </c>
      <c r="J3424" s="3" t="str">
        <f>HYPERLINK("https://www.boe.es/gazeta/dias/1819/12/21/pdfs/GMD-1819-156.pdf#page=5","Abrir facsímil")</f>
        <v>Abrir facsímil</v>
      </c>
      <c r="K3424" s="3" t="s">
        <v>23</v>
      </c>
    </row>
    <row r="3425" spans="1:11" ht="42" customHeight="1">
      <c r="A3425" s="2" t="s">
        <v>8384</v>
      </c>
      <c r="B3425" s="2" t="s">
        <v>8384</v>
      </c>
      <c r="C3425" s="2" t="s">
        <v>215</v>
      </c>
      <c r="D3425" s="2" t="s">
        <v>18</v>
      </c>
      <c r="E3425" s="5">
        <v>-29446</v>
      </c>
      <c r="F3425" s="3" t="s">
        <v>773</v>
      </c>
      <c r="G3425" s="3" t="s">
        <v>259</v>
      </c>
      <c r="H3425" s="2" t="s">
        <v>65</v>
      </c>
      <c r="I3425" s="2" t="s">
        <v>8385</v>
      </c>
      <c r="J3425" s="3" t="str">
        <f>HYPERLINK("https://www.boe.es/gazeta/dias/1819/05/18/pdfs/GMD-1819-59.pdf#page=2","Abrir facsímil")</f>
        <v>Abrir facsímil</v>
      </c>
      <c r="K3425" s="3" t="s">
        <v>67</v>
      </c>
    </row>
    <row r="3426" spans="1:11" ht="42" customHeight="1">
      <c r="A3426" s="2" t="s">
        <v>8386</v>
      </c>
      <c r="B3426" s="2" t="s">
        <v>8387</v>
      </c>
      <c r="C3426" s="2" t="s">
        <v>136</v>
      </c>
      <c r="D3426" s="2" t="s">
        <v>18</v>
      </c>
      <c r="E3426" s="5">
        <v>-29516</v>
      </c>
      <c r="F3426" s="3" t="s">
        <v>137</v>
      </c>
      <c r="G3426" s="3" t="s">
        <v>20</v>
      </c>
      <c r="H3426" s="2" t="s">
        <v>65</v>
      </c>
      <c r="I3426" s="2" t="s">
        <v>8388</v>
      </c>
      <c r="J3426" s="3" t="str">
        <f>HYPERLINK("https://www.boe.es/gazeta/dias/1819/03/09/pdfs/GMD-1819-29.pdf#page=10","Abrir facsímil")</f>
        <v>Abrir facsímil</v>
      </c>
      <c r="K3426" s="3" t="s">
        <v>67</v>
      </c>
    </row>
    <row r="3427" spans="1:11" ht="42" customHeight="1">
      <c r="A3427" s="2" t="s">
        <v>8389</v>
      </c>
      <c r="B3427" s="2" t="s">
        <v>8390</v>
      </c>
      <c r="C3427" s="2" t="s">
        <v>63</v>
      </c>
      <c r="D3427" s="2" t="s">
        <v>454</v>
      </c>
      <c r="E3427" s="5">
        <v>-29324</v>
      </c>
      <c r="F3427" s="3" t="s">
        <v>914</v>
      </c>
      <c r="G3427" s="3" t="s">
        <v>259</v>
      </c>
      <c r="H3427" s="2" t="s">
        <v>65</v>
      </c>
      <c r="I3427" s="2" t="s">
        <v>8391</v>
      </c>
      <c r="J3427" s="3" t="str">
        <f>HYPERLINK("https://www.boe.es/gazeta/dias/1819/09/17/pdfs/GMD-1819-114E.pdf#page=2","Abrir facsímil")</f>
        <v>Abrir facsímil</v>
      </c>
      <c r="K3427" s="3" t="s">
        <v>67</v>
      </c>
    </row>
    <row r="3428" spans="1:11" ht="42" customHeight="1">
      <c r="A3428" s="2" t="s">
        <v>8392</v>
      </c>
      <c r="B3428" s="2" t="s">
        <v>8393</v>
      </c>
      <c r="C3428" s="2" t="s">
        <v>136</v>
      </c>
      <c r="D3428" s="2" t="s">
        <v>18</v>
      </c>
      <c r="E3428" s="5">
        <v>-29267</v>
      </c>
      <c r="F3428" s="3" t="s">
        <v>370</v>
      </c>
      <c r="G3428" s="3" t="s">
        <v>33</v>
      </c>
      <c r="H3428" s="2" t="s">
        <v>65</v>
      </c>
      <c r="I3428" s="2" t="s">
        <v>8394</v>
      </c>
      <c r="J3428" s="3" t="str">
        <f>HYPERLINK("https://www.boe.es/gazeta/dias/1819/11/13/pdfs/GMD-1819-140.pdf#page=6","Abrir facsímil")</f>
        <v>Abrir facsímil</v>
      </c>
      <c r="K3428" s="3" t="s">
        <v>67</v>
      </c>
    </row>
    <row r="3429" spans="1:11" ht="42" customHeight="1">
      <c r="A3429" s="2" t="s">
        <v>8395</v>
      </c>
      <c r="B3429" s="2" t="s">
        <v>8396</v>
      </c>
      <c r="C3429" s="2" t="s">
        <v>26</v>
      </c>
      <c r="D3429" s="2" t="s">
        <v>18</v>
      </c>
      <c r="E3429" s="5">
        <v>-29516</v>
      </c>
      <c r="F3429" s="3" t="s">
        <v>137</v>
      </c>
      <c r="G3429" s="3" t="s">
        <v>456</v>
      </c>
      <c r="H3429" s="2" t="s">
        <v>65</v>
      </c>
      <c r="I3429" s="2" t="s">
        <v>8397</v>
      </c>
      <c r="J3429" s="3" t="str">
        <f>HYPERLINK("https://www.boe.es/gazeta/dias/1819/03/09/pdfs/GMD-1819-29.pdf#page=9","Abrir facsímil")</f>
        <v>Abrir facsímil</v>
      </c>
      <c r="K3429" s="3" t="s">
        <v>67</v>
      </c>
    </row>
    <row r="3430" spans="1:11" ht="42" customHeight="1">
      <c r="A3430" s="2" t="s">
        <v>8398</v>
      </c>
      <c r="B3430" s="2" t="s">
        <v>8398</v>
      </c>
      <c r="C3430" s="2" t="s">
        <v>63</v>
      </c>
      <c r="D3430" s="2" t="s">
        <v>43</v>
      </c>
      <c r="E3430" s="5">
        <v>-29563</v>
      </c>
      <c r="F3430" s="3" t="s">
        <v>1087</v>
      </c>
      <c r="G3430" s="3" t="s">
        <v>296</v>
      </c>
      <c r="H3430" s="2" t="s">
        <v>65</v>
      </c>
      <c r="I3430" s="2" t="s">
        <v>8399</v>
      </c>
      <c r="J3430" s="3" t="str">
        <f>HYPERLINK("https://www.boe.es/gazeta/dias/1819/01/21/pdfs/GMD-1819-9.pdf#page=4","Abrir facsímil")</f>
        <v>Abrir facsímil</v>
      </c>
      <c r="K3430" s="3" t="s">
        <v>67</v>
      </c>
    </row>
    <row r="3431" spans="1:11" ht="42" customHeight="1">
      <c r="A3431" s="2" t="s">
        <v>8400</v>
      </c>
      <c r="B3431" s="2" t="s">
        <v>8401</v>
      </c>
      <c r="C3431" s="2" t="s">
        <v>63</v>
      </c>
      <c r="D3431" s="2" t="s">
        <v>43</v>
      </c>
      <c r="E3431" s="5">
        <v>-29367</v>
      </c>
      <c r="F3431" s="3" t="s">
        <v>571</v>
      </c>
      <c r="G3431" s="3" t="s">
        <v>28</v>
      </c>
      <c r="H3431" s="2" t="s">
        <v>65</v>
      </c>
      <c r="I3431" s="2" t="s">
        <v>8402</v>
      </c>
      <c r="J3431" s="3" t="str">
        <f>HYPERLINK("https://www.boe.es/gazeta/dias/1819/08/05/pdfs/GMD-1819-94.pdf#page=8","Abrir facsímil")</f>
        <v>Abrir facsímil</v>
      </c>
      <c r="K3431" s="3" t="s">
        <v>67</v>
      </c>
    </row>
    <row r="3432" spans="1:11" ht="42" customHeight="1">
      <c r="A3432" s="2" t="s">
        <v>8403</v>
      </c>
      <c r="B3432" s="2" t="s">
        <v>8404</v>
      </c>
      <c r="C3432" s="2" t="s">
        <v>63</v>
      </c>
      <c r="D3432" s="2" t="s">
        <v>43</v>
      </c>
      <c r="E3432" s="5">
        <v>-29304</v>
      </c>
      <c r="F3432" s="3" t="s">
        <v>519</v>
      </c>
      <c r="G3432" s="3" t="s">
        <v>55</v>
      </c>
      <c r="H3432" s="2" t="s">
        <v>65</v>
      </c>
      <c r="I3432" s="2" t="s">
        <v>8405</v>
      </c>
      <c r="J3432" s="3" t="str">
        <f>HYPERLINK("https://www.boe.es/gazeta/dias/1819/10/07/pdfs/GMD-1819-123.pdf#page=7","Abrir facsímil")</f>
        <v>Abrir facsímil</v>
      </c>
      <c r="K3432" s="3" t="s">
        <v>67</v>
      </c>
    </row>
    <row r="3433" spans="1:11" ht="42" customHeight="1">
      <c r="A3433" s="2" t="s">
        <v>8406</v>
      </c>
      <c r="B3433" s="2" t="s">
        <v>8407</v>
      </c>
      <c r="C3433" s="2" t="s">
        <v>80</v>
      </c>
      <c r="D3433" s="2" t="s">
        <v>81</v>
      </c>
      <c r="E3433" s="5">
        <v>-29575</v>
      </c>
      <c r="F3433" s="3" t="s">
        <v>77</v>
      </c>
      <c r="G3433" s="3" t="s">
        <v>28</v>
      </c>
      <c r="H3433" s="2" t="s">
        <v>65</v>
      </c>
      <c r="I3433" s="2" t="s">
        <v>8408</v>
      </c>
      <c r="J3433" s="3" t="str">
        <f>HYPERLINK("https://www.boe.es/gazeta/dias/1819/01/09/pdfs/GMD-1819-4.pdf#page=8","Abrir facsímil")</f>
        <v>Abrir facsímil</v>
      </c>
      <c r="K3433" s="3" t="s">
        <v>67</v>
      </c>
    </row>
    <row r="3434" spans="1:11" ht="42" customHeight="1">
      <c r="A3434" s="2" t="s">
        <v>8409</v>
      </c>
      <c r="B3434" s="2" t="s">
        <v>8410</v>
      </c>
      <c r="C3434" s="2" t="s">
        <v>26</v>
      </c>
      <c r="D3434" s="2" t="s">
        <v>18</v>
      </c>
      <c r="E3434" s="5">
        <v>-29390</v>
      </c>
      <c r="F3434" s="3" t="s">
        <v>263</v>
      </c>
      <c r="G3434" s="3" t="s">
        <v>33</v>
      </c>
      <c r="H3434" s="2" t="s">
        <v>65</v>
      </c>
      <c r="I3434" s="2" t="s">
        <v>8411</v>
      </c>
      <c r="J3434" s="3" t="str">
        <f>HYPERLINK("https://www.boe.es/gazeta/dias/1819/07/13/pdfs/GMD-1819-84.pdf#page=6","Abrir facsímil")</f>
        <v>Abrir facsímil</v>
      </c>
      <c r="K3434" s="3" t="s">
        <v>67</v>
      </c>
    </row>
    <row r="3435" spans="1:11" ht="42" customHeight="1">
      <c r="A3435" s="2" t="s">
        <v>8409</v>
      </c>
      <c r="B3435" s="2" t="s">
        <v>8410</v>
      </c>
      <c r="C3435" s="2" t="s">
        <v>215</v>
      </c>
      <c r="D3435" s="2" t="s">
        <v>18</v>
      </c>
      <c r="E3435" s="5">
        <v>-29390</v>
      </c>
      <c r="F3435" s="3" t="s">
        <v>263</v>
      </c>
      <c r="G3435" s="3" t="s">
        <v>28</v>
      </c>
      <c r="H3435" s="2" t="s">
        <v>65</v>
      </c>
      <c r="I3435" s="2" t="s">
        <v>8412</v>
      </c>
      <c r="J3435" s="3" t="str">
        <f>HYPERLINK("https://www.boe.es/gazeta/dias/1819/07/13/pdfs/GMD-1819-84.pdf#page=8","Abrir facsímil")</f>
        <v>Abrir facsímil</v>
      </c>
      <c r="K3435" s="3" t="s">
        <v>67</v>
      </c>
    </row>
    <row r="3436" spans="1:11" ht="42" customHeight="1">
      <c r="A3436" s="2" t="s">
        <v>8413</v>
      </c>
      <c r="B3436" s="2" t="s">
        <v>8414</v>
      </c>
      <c r="C3436" s="2" t="s">
        <v>59</v>
      </c>
      <c r="D3436" s="2" t="s">
        <v>18</v>
      </c>
      <c r="E3436" s="5">
        <v>-29316</v>
      </c>
      <c r="F3436" s="3" t="s">
        <v>166</v>
      </c>
      <c r="G3436" s="3" t="s">
        <v>28</v>
      </c>
      <c r="H3436" s="2" t="s">
        <v>65</v>
      </c>
      <c r="I3436" s="2" t="s">
        <v>8415</v>
      </c>
      <c r="J3436" s="3" t="str">
        <f>HYPERLINK("https://www.boe.es/gazeta/dias/1819/09/25/pdfs/GMD-1819-118.pdf#page=8","Abrir facsímil")</f>
        <v>Abrir facsímil</v>
      </c>
      <c r="K3436" s="3" t="s">
        <v>67</v>
      </c>
    </row>
    <row r="3437" spans="1:11" ht="42" customHeight="1">
      <c r="A3437" s="2" t="s">
        <v>8416</v>
      </c>
      <c r="B3437" s="2" t="s">
        <v>8417</v>
      </c>
      <c r="C3437" s="2" t="s">
        <v>80</v>
      </c>
      <c r="D3437" s="2" t="s">
        <v>81</v>
      </c>
      <c r="E3437" s="5">
        <v>-29474</v>
      </c>
      <c r="F3437" s="3" t="s">
        <v>216</v>
      </c>
      <c r="G3437" s="3" t="s">
        <v>33</v>
      </c>
      <c r="H3437" s="2" t="s">
        <v>65</v>
      </c>
      <c r="I3437" s="2" t="s">
        <v>8418</v>
      </c>
      <c r="J3437" s="3" t="str">
        <f>HYPERLINK("https://www.boe.es/gazeta/dias/1819/04/20/pdfs/GMD-1819-47.pdf#page=6","Abrir facsímil")</f>
        <v>Abrir facsímil</v>
      </c>
      <c r="K3437" s="3" t="s">
        <v>67</v>
      </c>
    </row>
    <row r="3438" spans="1:11" ht="42" customHeight="1">
      <c r="A3438" s="2" t="s">
        <v>8419</v>
      </c>
      <c r="B3438" s="2" t="s">
        <v>8420</v>
      </c>
      <c r="C3438" s="2" t="s">
        <v>17</v>
      </c>
      <c r="D3438" s="2" t="s">
        <v>18</v>
      </c>
      <c r="E3438" s="5">
        <v>-29481</v>
      </c>
      <c r="F3438" s="3" t="s">
        <v>1504</v>
      </c>
      <c r="G3438" s="3" t="s">
        <v>28</v>
      </c>
      <c r="H3438" s="2" t="s">
        <v>65</v>
      </c>
      <c r="I3438" s="2" t="s">
        <v>8421</v>
      </c>
      <c r="J3438" s="3" t="str">
        <f>HYPERLINK("https://www.boe.es/gazeta/dias/1819/04/13/pdfs/GMD-1819-44.pdf#page=8","Abrir facsímil")</f>
        <v>Abrir facsímil</v>
      </c>
      <c r="K3438" s="3" t="s">
        <v>67</v>
      </c>
    </row>
    <row r="3439" spans="1:11" ht="42" customHeight="1">
      <c r="A3439" s="2" t="s">
        <v>8422</v>
      </c>
      <c r="B3439" s="2" t="s">
        <v>8423</v>
      </c>
      <c r="C3439" s="2" t="s">
        <v>63</v>
      </c>
      <c r="D3439" s="2" t="s">
        <v>43</v>
      </c>
      <c r="E3439" s="5">
        <v>-29512</v>
      </c>
      <c r="F3439" s="3" t="s">
        <v>741</v>
      </c>
      <c r="G3439" s="3" t="s">
        <v>55</v>
      </c>
      <c r="H3439" s="2" t="s">
        <v>65</v>
      </c>
      <c r="I3439" s="2" t="s">
        <v>8424</v>
      </c>
      <c r="J3439" s="3" t="str">
        <f>HYPERLINK("https://www.boe.es/gazeta/dias/1819/03/13/pdfs/GMD-1819-31.pdf#page=7","Abrir facsímil")</f>
        <v>Abrir facsímil</v>
      </c>
      <c r="K3439" s="3" t="s">
        <v>67</v>
      </c>
    </row>
    <row r="3440" spans="1:11" ht="42" customHeight="1">
      <c r="A3440" s="2" t="s">
        <v>8425</v>
      </c>
      <c r="B3440" s="2" t="s">
        <v>8426</v>
      </c>
      <c r="C3440" s="2" t="s">
        <v>63</v>
      </c>
      <c r="D3440" s="2" t="s">
        <v>43</v>
      </c>
      <c r="E3440" s="5">
        <v>-29281</v>
      </c>
      <c r="F3440" s="3" t="s">
        <v>19</v>
      </c>
      <c r="G3440" s="3" t="s">
        <v>28</v>
      </c>
      <c r="H3440" s="2" t="s">
        <v>65</v>
      </c>
      <c r="I3440" s="2" t="s">
        <v>8427</v>
      </c>
      <c r="J3440" s="3" t="str">
        <f>HYPERLINK("https://www.boe.es/gazeta/dias/1819/10/30/pdfs/GMD-1819-134.pdf#page=8","Abrir facsímil")</f>
        <v>Abrir facsímil</v>
      </c>
      <c r="K3440" s="3" t="s">
        <v>67</v>
      </c>
    </row>
    <row r="3441" spans="1:11" ht="42" customHeight="1">
      <c r="A3441" s="2" t="s">
        <v>8428</v>
      </c>
      <c r="B3441" s="2" t="s">
        <v>8428</v>
      </c>
      <c r="C3441" s="2" t="s">
        <v>63</v>
      </c>
      <c r="D3441" s="2" t="s">
        <v>43</v>
      </c>
      <c r="E3441" s="5">
        <v>-29463</v>
      </c>
      <c r="F3441" s="3" t="s">
        <v>114</v>
      </c>
      <c r="G3441" s="3" t="s">
        <v>296</v>
      </c>
      <c r="H3441" s="2" t="s">
        <v>65</v>
      </c>
      <c r="I3441" s="2" t="s">
        <v>8429</v>
      </c>
      <c r="J3441" s="3" t="str">
        <f>HYPERLINK("https://www.boe.es/gazeta/dias/1819/05/01/pdfs/GMD-1819-52.pdf#page=4","Abrir facsímil")</f>
        <v>Abrir facsímil</v>
      </c>
      <c r="K3441" s="3" t="s">
        <v>67</v>
      </c>
    </row>
    <row r="3442" spans="1:11" ht="42" customHeight="1">
      <c r="A3442" s="2" t="s">
        <v>8430</v>
      </c>
      <c r="B3442" s="2" t="s">
        <v>8431</v>
      </c>
      <c r="C3442" s="2" t="s">
        <v>80</v>
      </c>
      <c r="D3442" s="2" t="s">
        <v>81</v>
      </c>
      <c r="E3442" s="5">
        <v>-29297</v>
      </c>
      <c r="F3442" s="3" t="s">
        <v>82</v>
      </c>
      <c r="G3442" s="3" t="s">
        <v>102</v>
      </c>
      <c r="H3442" s="2" t="s">
        <v>65</v>
      </c>
      <c r="I3442" s="2" t="s">
        <v>8432</v>
      </c>
      <c r="J3442" s="3" t="str">
        <f>HYPERLINK("https://www.boe.es/gazeta/dias/1819/10/14/pdfs/GMD-1819-126.pdf#page=3","Abrir facsímil")</f>
        <v>Abrir facsímil</v>
      </c>
      <c r="K3442" s="3" t="s">
        <v>67</v>
      </c>
    </row>
    <row r="3443" spans="1:11" ht="42" customHeight="1">
      <c r="A3443" s="2" t="s">
        <v>8433</v>
      </c>
      <c r="B3443" s="2" t="s">
        <v>8433</v>
      </c>
      <c r="C3443" s="2" t="s">
        <v>59</v>
      </c>
      <c r="D3443" s="2" t="s">
        <v>18</v>
      </c>
      <c r="E3443" s="5">
        <v>-29220</v>
      </c>
      <c r="F3443" s="3" t="s">
        <v>397</v>
      </c>
      <c r="G3443" s="3" t="s">
        <v>102</v>
      </c>
      <c r="H3443" s="2" t="s">
        <v>65</v>
      </c>
      <c r="I3443" s="2" t="s">
        <v>8434</v>
      </c>
      <c r="J3443" s="3" t="str">
        <f>HYPERLINK("https://www.boe.es/gazeta/dias/1819/12/30/pdfs/GMD-1819-160.pdf#page=3","Abrir facsímil")</f>
        <v>Abrir facsímil</v>
      </c>
      <c r="K3443" s="3" t="s">
        <v>67</v>
      </c>
    </row>
    <row r="3444" spans="1:11" ht="42" customHeight="1">
      <c r="A3444" s="2" t="s">
        <v>8435</v>
      </c>
      <c r="B3444" s="2" t="s">
        <v>8436</v>
      </c>
      <c r="C3444" s="2" t="s">
        <v>80</v>
      </c>
      <c r="D3444" s="2" t="s">
        <v>81</v>
      </c>
      <c r="E3444" s="5">
        <v>-29285</v>
      </c>
      <c r="F3444" s="3" t="s">
        <v>578</v>
      </c>
      <c r="G3444" s="3" t="s">
        <v>33</v>
      </c>
      <c r="H3444" s="2" t="s">
        <v>65</v>
      </c>
      <c r="I3444" s="2" t="s">
        <v>8437</v>
      </c>
      <c r="J3444" s="3" t="str">
        <f>HYPERLINK("https://www.boe.es/gazeta/dias/1819/10/26/pdfs/GMD-1819-132.pdf#page=6","Abrir facsímil")</f>
        <v>Abrir facsímil</v>
      </c>
      <c r="K3444" s="3" t="s">
        <v>67</v>
      </c>
    </row>
    <row r="3445" spans="1:11" ht="42" customHeight="1">
      <c r="A3445" s="2" t="s">
        <v>8438</v>
      </c>
      <c r="B3445" s="2" t="s">
        <v>8439</v>
      </c>
      <c r="C3445" s="2" t="s">
        <v>80</v>
      </c>
      <c r="D3445" s="2" t="s">
        <v>81</v>
      </c>
      <c r="E3445" s="5">
        <v>-29260</v>
      </c>
      <c r="F3445" s="3" t="s">
        <v>93</v>
      </c>
      <c r="G3445" s="3" t="s">
        <v>1275</v>
      </c>
      <c r="H3445" s="2" t="s">
        <v>65</v>
      </c>
      <c r="I3445" s="2" t="s">
        <v>8440</v>
      </c>
      <c r="J3445" s="3" t="str">
        <f>HYPERLINK("https://www.boe.es/gazeta/dias/1819/11/20/pdfs/GMD-1819-143.pdf#page=10","Abrir facsímil")</f>
        <v>Abrir facsímil</v>
      </c>
      <c r="K3445" s="3" t="s">
        <v>67</v>
      </c>
    </row>
    <row r="3446" spans="1:11" ht="42" customHeight="1">
      <c r="A3446" s="2" t="s">
        <v>8441</v>
      </c>
      <c r="B3446" s="2" t="s">
        <v>8442</v>
      </c>
      <c r="C3446" s="2" t="s">
        <v>63</v>
      </c>
      <c r="D3446" s="2" t="s">
        <v>454</v>
      </c>
      <c r="E3446" s="5">
        <v>-29287</v>
      </c>
      <c r="F3446" s="3" t="s">
        <v>455</v>
      </c>
      <c r="G3446" s="3" t="s">
        <v>456</v>
      </c>
      <c r="H3446" s="2" t="s">
        <v>65</v>
      </c>
      <c r="I3446" s="2" t="s">
        <v>8443</v>
      </c>
      <c r="J3446" s="3" t="str">
        <f>HYPERLINK("https://www.boe.es/gazeta/dias/1819/10/24/pdfs/GMD-1819-131E.pdf#page=9","Abrir facsímil")</f>
        <v>Abrir facsímil</v>
      </c>
      <c r="K3446" s="3" t="s">
        <v>67</v>
      </c>
    </row>
    <row r="3447" spans="1:11" ht="42" customHeight="1">
      <c r="A3447" s="2" t="s">
        <v>8444</v>
      </c>
      <c r="B3447" s="2" t="s">
        <v>8445</v>
      </c>
      <c r="C3447" s="2" t="s">
        <v>80</v>
      </c>
      <c r="D3447" s="2" t="s">
        <v>81</v>
      </c>
      <c r="E3447" s="5">
        <v>-29379</v>
      </c>
      <c r="F3447" s="3" t="s">
        <v>161</v>
      </c>
      <c r="G3447" s="3" t="s">
        <v>296</v>
      </c>
      <c r="H3447" s="2" t="s">
        <v>65</v>
      </c>
      <c r="I3447" s="2" t="s">
        <v>8446</v>
      </c>
      <c r="J3447" s="3" t="str">
        <f>HYPERLINK("https://www.boe.es/gazeta/dias/1819/07/24/pdfs/GMD-1819-89.pdf#page=4","Abrir facsímil")</f>
        <v>Abrir facsímil</v>
      </c>
      <c r="K3447" s="3" t="s">
        <v>67</v>
      </c>
    </row>
    <row r="3448" spans="1:11" ht="42" customHeight="1">
      <c r="A3448" s="2" t="s">
        <v>8447</v>
      </c>
      <c r="B3448" s="2" t="s">
        <v>8448</v>
      </c>
      <c r="C3448" s="2" t="s">
        <v>26</v>
      </c>
      <c r="D3448" s="2" t="s">
        <v>18</v>
      </c>
      <c r="E3448" s="5">
        <v>-29367</v>
      </c>
      <c r="F3448" s="3" t="s">
        <v>571</v>
      </c>
      <c r="G3448" s="3" t="s">
        <v>28</v>
      </c>
      <c r="H3448" s="2" t="s">
        <v>65</v>
      </c>
      <c r="I3448" s="2" t="s">
        <v>8449</v>
      </c>
      <c r="J3448" s="3" t="str">
        <f>HYPERLINK("https://www.boe.es/gazeta/dias/1819/08/05/pdfs/GMD-1819-94.pdf#page=8","Abrir facsímil")</f>
        <v>Abrir facsímil</v>
      </c>
      <c r="K3448" s="3" t="s">
        <v>67</v>
      </c>
    </row>
    <row r="3449" spans="1:11" ht="42" customHeight="1">
      <c r="A3449" s="2" t="s">
        <v>8450</v>
      </c>
      <c r="B3449" s="2" t="s">
        <v>8451</v>
      </c>
      <c r="C3449" s="2" t="s">
        <v>26</v>
      </c>
      <c r="D3449" s="2" t="s">
        <v>18</v>
      </c>
      <c r="E3449" s="5">
        <v>-29582</v>
      </c>
      <c r="F3449" s="3" t="s">
        <v>376</v>
      </c>
      <c r="G3449" s="3" t="s">
        <v>28</v>
      </c>
      <c r="H3449" s="2" t="s">
        <v>65</v>
      </c>
      <c r="I3449" s="2" t="s">
        <v>8452</v>
      </c>
      <c r="J3449" s="3" t="str">
        <f>HYPERLINK("https://www.boe.es/gazeta/dias/1819/01/02/pdfs/GMD-1819-1.pdf#page=8","Abrir facsímil")</f>
        <v>Abrir facsímil</v>
      </c>
      <c r="K3449" s="3" t="s">
        <v>67</v>
      </c>
    </row>
    <row r="3450" spans="1:11" ht="42" customHeight="1">
      <c r="A3450" s="2" t="s">
        <v>8453</v>
      </c>
      <c r="B3450" s="2" t="s">
        <v>8454</v>
      </c>
      <c r="C3450" s="2" t="s">
        <v>63</v>
      </c>
      <c r="D3450" s="2" t="s">
        <v>43</v>
      </c>
      <c r="E3450" s="5">
        <v>-29507</v>
      </c>
      <c r="F3450" s="3" t="s">
        <v>1928</v>
      </c>
      <c r="G3450" s="3" t="s">
        <v>33</v>
      </c>
      <c r="H3450" s="2" t="s">
        <v>65</v>
      </c>
      <c r="I3450" s="2" t="s">
        <v>8455</v>
      </c>
      <c r="J3450" s="3" t="str">
        <f>HYPERLINK("https://www.boe.es/gazeta/dias/1819/03/18/pdfs/GMD-1819-33.pdf#page=6","Abrir facsímil")</f>
        <v>Abrir facsímil</v>
      </c>
      <c r="K3450" s="3" t="s">
        <v>67</v>
      </c>
    </row>
    <row r="3451" spans="1:11" ht="42" customHeight="1">
      <c r="A3451" s="2" t="s">
        <v>8456</v>
      </c>
      <c r="B3451" s="2" t="s">
        <v>8456</v>
      </c>
      <c r="C3451" s="2" t="s">
        <v>246</v>
      </c>
      <c r="D3451" s="2" t="s">
        <v>18</v>
      </c>
      <c r="E3451" s="5">
        <v>-29540</v>
      </c>
      <c r="F3451" s="3" t="s">
        <v>154</v>
      </c>
      <c r="G3451" s="3" t="s">
        <v>102</v>
      </c>
      <c r="H3451" s="2" t="s">
        <v>65</v>
      </c>
      <c r="I3451" s="2" t="s">
        <v>8457</v>
      </c>
      <c r="J3451" s="3" t="str">
        <f>HYPERLINK("https://www.boe.es/gazeta/dias/1819/02/13/pdfs/GMD-1819-19.pdf#page=3","Abrir facsímil")</f>
        <v>Abrir facsímil</v>
      </c>
      <c r="K3451" s="3" t="s">
        <v>67</v>
      </c>
    </row>
    <row r="3452" spans="1:11" ht="42" customHeight="1">
      <c r="A3452" s="2" t="s">
        <v>8458</v>
      </c>
      <c r="B3452" s="2" t="s">
        <v>8459</v>
      </c>
      <c r="C3452" s="2" t="s">
        <v>63</v>
      </c>
      <c r="D3452" s="2" t="s">
        <v>43</v>
      </c>
      <c r="E3452" s="5">
        <v>-29465</v>
      </c>
      <c r="F3452" s="3" t="s">
        <v>1934</v>
      </c>
      <c r="G3452" s="3" t="s">
        <v>28</v>
      </c>
      <c r="H3452" s="2" t="s">
        <v>65</v>
      </c>
      <c r="I3452" s="2" t="s">
        <v>8460</v>
      </c>
      <c r="J3452" s="3" t="str">
        <f>HYPERLINK("https://www.boe.es/gazeta/dias/1819/04/29/pdfs/GMD-1819-51.pdf#page=8","Abrir facsímil")</f>
        <v>Abrir facsímil</v>
      </c>
      <c r="K3452" s="3" t="s">
        <v>67</v>
      </c>
    </row>
    <row r="3453" spans="1:11" ht="42" customHeight="1">
      <c r="A3453" s="2" t="s">
        <v>8461</v>
      </c>
      <c r="B3453" s="2" t="s">
        <v>8462</v>
      </c>
      <c r="C3453" s="2" t="s">
        <v>63</v>
      </c>
      <c r="D3453" s="2" t="s">
        <v>43</v>
      </c>
      <c r="E3453" s="5">
        <v>-29379</v>
      </c>
      <c r="F3453" s="3" t="s">
        <v>161</v>
      </c>
      <c r="G3453" s="3" t="s">
        <v>28</v>
      </c>
      <c r="H3453" s="2" t="s">
        <v>65</v>
      </c>
      <c r="I3453" s="2" t="s">
        <v>8463</v>
      </c>
      <c r="J3453" s="3" t="str">
        <f>HYPERLINK("https://www.boe.es/gazeta/dias/1819/07/24/pdfs/GMD-1819-89.pdf#page=8","Abrir facsímil")</f>
        <v>Abrir facsímil</v>
      </c>
      <c r="K3453" s="3" t="s">
        <v>67</v>
      </c>
    </row>
    <row r="3454" spans="1:11" ht="42" customHeight="1">
      <c r="A3454" s="2" t="s">
        <v>8461</v>
      </c>
      <c r="B3454" s="2" t="s">
        <v>8462</v>
      </c>
      <c r="C3454" s="2" t="s">
        <v>63</v>
      </c>
      <c r="D3454" s="2" t="s">
        <v>43</v>
      </c>
      <c r="E3454" s="5">
        <v>-29374</v>
      </c>
      <c r="F3454" s="3" t="s">
        <v>204</v>
      </c>
      <c r="G3454" s="3" t="s">
        <v>28</v>
      </c>
      <c r="H3454" s="2" t="s">
        <v>65</v>
      </c>
      <c r="I3454" s="2" t="s">
        <v>8464</v>
      </c>
      <c r="J3454" s="3" t="str">
        <f>HYPERLINK("https://www.boe.es/gazeta/dias/1819/07/29/pdfs/GMD-1819-91.pdf#page=8","Abrir facsímil")</f>
        <v>Abrir facsímil</v>
      </c>
      <c r="K3454" s="3" t="s">
        <v>67</v>
      </c>
    </row>
    <row r="3455" spans="1:11" ht="42" customHeight="1">
      <c r="A3455" s="2" t="s">
        <v>8465</v>
      </c>
      <c r="B3455" s="2" t="s">
        <v>8466</v>
      </c>
      <c r="C3455" s="2" t="s">
        <v>80</v>
      </c>
      <c r="D3455" s="2" t="s">
        <v>81</v>
      </c>
      <c r="E3455" s="5">
        <v>-29260</v>
      </c>
      <c r="F3455" s="3" t="s">
        <v>93</v>
      </c>
      <c r="G3455" s="3" t="s">
        <v>94</v>
      </c>
      <c r="H3455" s="2" t="s">
        <v>65</v>
      </c>
      <c r="I3455" s="2" t="s">
        <v>8467</v>
      </c>
      <c r="J3455" s="3" t="str">
        <f>HYPERLINK("https://www.boe.es/gazeta/dias/1819/11/20/pdfs/GMD-1819-143.pdf#page=11","Abrir facsímil")</f>
        <v>Abrir facsímil</v>
      </c>
      <c r="K3455" s="3" t="s">
        <v>67</v>
      </c>
    </row>
    <row r="3456" spans="1:11" ht="42" customHeight="1">
      <c r="A3456" s="2" t="s">
        <v>8468</v>
      </c>
      <c r="B3456" s="2" t="s">
        <v>8469</v>
      </c>
      <c r="C3456" s="2" t="s">
        <v>136</v>
      </c>
      <c r="D3456" s="2" t="s">
        <v>18</v>
      </c>
      <c r="E3456" s="5">
        <v>-29516</v>
      </c>
      <c r="F3456" s="3" t="s">
        <v>137</v>
      </c>
      <c r="G3456" s="3" t="s">
        <v>20</v>
      </c>
      <c r="H3456" s="2" t="s">
        <v>65</v>
      </c>
      <c r="I3456" s="2" t="s">
        <v>8470</v>
      </c>
      <c r="J3456" s="3" t="str">
        <f>HYPERLINK("https://www.boe.es/gazeta/dias/1819/03/09/pdfs/GMD-1819-29.pdf#page=10","Abrir facsímil")</f>
        <v>Abrir facsímil</v>
      </c>
      <c r="K3456" s="3" t="s">
        <v>67</v>
      </c>
    </row>
    <row r="3457" spans="1:11" ht="42" customHeight="1">
      <c r="A3457" s="2" t="s">
        <v>8471</v>
      </c>
      <c r="B3457" s="2" t="s">
        <v>8472</v>
      </c>
      <c r="C3457" s="2" t="s">
        <v>80</v>
      </c>
      <c r="D3457" s="2" t="s">
        <v>81</v>
      </c>
      <c r="E3457" s="5">
        <v>-29479</v>
      </c>
      <c r="F3457" s="3" t="s">
        <v>979</v>
      </c>
      <c r="G3457" s="3" t="s">
        <v>296</v>
      </c>
      <c r="H3457" s="2" t="s">
        <v>65</v>
      </c>
      <c r="I3457" s="2" t="s">
        <v>8473</v>
      </c>
      <c r="J3457" s="3" t="str">
        <f>HYPERLINK("https://www.boe.es/gazeta/dias/1819/04/15/pdfs/GMD-1819-45.pdf#page=4","Abrir facsímil")</f>
        <v>Abrir facsímil</v>
      </c>
      <c r="K3457" s="3" t="s">
        <v>67</v>
      </c>
    </row>
    <row r="3458" spans="1:11" ht="42" customHeight="1">
      <c r="A3458" s="2" t="s">
        <v>8474</v>
      </c>
      <c r="B3458" s="2" t="s">
        <v>8475</v>
      </c>
      <c r="C3458" s="2" t="s">
        <v>63</v>
      </c>
      <c r="D3458" s="2" t="s">
        <v>43</v>
      </c>
      <c r="E3458" s="5">
        <v>-29281</v>
      </c>
      <c r="F3458" s="3" t="s">
        <v>19</v>
      </c>
      <c r="G3458" s="3" t="s">
        <v>28</v>
      </c>
      <c r="H3458" s="2" t="s">
        <v>65</v>
      </c>
      <c r="I3458" s="2" t="s">
        <v>8476</v>
      </c>
      <c r="J3458" s="3" t="str">
        <f>HYPERLINK("https://www.boe.es/gazeta/dias/1819/10/30/pdfs/GMD-1819-134.pdf#page=8","Abrir facsímil")</f>
        <v>Abrir facsímil</v>
      </c>
      <c r="K3458" s="3" t="s">
        <v>67</v>
      </c>
    </row>
    <row r="3459" spans="1:11" ht="42" customHeight="1">
      <c r="A3459" s="2" t="s">
        <v>8477</v>
      </c>
      <c r="B3459" s="2" t="s">
        <v>8478</v>
      </c>
      <c r="C3459" s="2" t="s">
        <v>17</v>
      </c>
      <c r="D3459" s="2" t="s">
        <v>18</v>
      </c>
      <c r="E3459" s="5">
        <v>-29281</v>
      </c>
      <c r="F3459" s="3" t="s">
        <v>19</v>
      </c>
      <c r="G3459" s="3" t="s">
        <v>20</v>
      </c>
      <c r="H3459" s="2" t="s">
        <v>65</v>
      </c>
      <c r="I3459" s="2" t="s">
        <v>8479</v>
      </c>
      <c r="J3459" s="3" t="str">
        <f>HYPERLINK("https://www.boe.es/gazeta/dias/1819/10/30/pdfs/GMD-1819-134.pdf#page=10","Abrir facsímil")</f>
        <v>Abrir facsímil</v>
      </c>
      <c r="K3459" s="3" t="s">
        <v>67</v>
      </c>
    </row>
    <row r="3460" spans="1:11" ht="42" customHeight="1">
      <c r="A3460" s="2" t="s">
        <v>8480</v>
      </c>
      <c r="B3460" s="2" t="s">
        <v>8481</v>
      </c>
      <c r="C3460" s="2" t="s">
        <v>59</v>
      </c>
      <c r="D3460" s="2" t="s">
        <v>18</v>
      </c>
      <c r="E3460" s="5">
        <v>-29276</v>
      </c>
      <c r="F3460" s="3" t="s">
        <v>54</v>
      </c>
      <c r="G3460" s="3" t="s">
        <v>284</v>
      </c>
      <c r="H3460" s="2" t="s">
        <v>65</v>
      </c>
      <c r="I3460" s="2" t="s">
        <v>8482</v>
      </c>
      <c r="J3460" s="3" t="str">
        <f>HYPERLINK("https://www.boe.es/gazeta/dias/1819/11/04/pdfs/GMD-1819-136.pdf#page=6","Abrir facsímil")</f>
        <v>Abrir facsímil</v>
      </c>
      <c r="K3460" s="3" t="s">
        <v>67</v>
      </c>
    </row>
    <row r="3461" spans="1:11" ht="42" customHeight="1">
      <c r="A3461" s="2" t="s">
        <v>8480</v>
      </c>
      <c r="B3461" s="2" t="s">
        <v>8481</v>
      </c>
      <c r="C3461" s="2" t="s">
        <v>63</v>
      </c>
      <c r="D3461" s="2" t="s">
        <v>43</v>
      </c>
      <c r="E3461" s="5">
        <v>-29246</v>
      </c>
      <c r="F3461" s="3" t="s">
        <v>494</v>
      </c>
      <c r="G3461" s="3" t="s">
        <v>495</v>
      </c>
      <c r="H3461" s="2" t="s">
        <v>65</v>
      </c>
      <c r="I3461" s="2" t="s">
        <v>8483</v>
      </c>
      <c r="J3461" s="3" t="str">
        <f>HYPERLINK("https://www.boe.es/gazeta/dias/1819/12/04/pdfs/GMD-1819-149.pdf#page=6","Abrir facsímil")</f>
        <v>Abrir facsímil</v>
      </c>
      <c r="K3461" s="3" t="s">
        <v>67</v>
      </c>
    </row>
    <row r="3462" spans="1:11" ht="42" customHeight="1">
      <c r="A3462" s="2" t="s">
        <v>8484</v>
      </c>
      <c r="B3462" s="2" t="s">
        <v>8485</v>
      </c>
      <c r="C3462" s="2" t="s">
        <v>63</v>
      </c>
      <c r="D3462" s="2" t="s">
        <v>43</v>
      </c>
      <c r="E3462" s="5">
        <v>-29460</v>
      </c>
      <c r="F3462" s="3" t="s">
        <v>1534</v>
      </c>
      <c r="G3462" s="3" t="s">
        <v>296</v>
      </c>
      <c r="H3462" s="2" t="s">
        <v>65</v>
      </c>
      <c r="I3462" s="2" t="s">
        <v>8486</v>
      </c>
      <c r="J3462" s="3" t="str">
        <f>HYPERLINK("https://www.boe.es/gazeta/dias/1819/05/04/pdfs/GMD-1819-53.pdf#page=4","Abrir facsímil")</f>
        <v>Abrir facsímil</v>
      </c>
      <c r="K3462" s="3" t="s">
        <v>67</v>
      </c>
    </row>
    <row r="3463" spans="1:11" ht="42" customHeight="1">
      <c r="A3463" s="2" t="s">
        <v>8487</v>
      </c>
      <c r="B3463" s="2" t="s">
        <v>8488</v>
      </c>
      <c r="C3463" s="2" t="s">
        <v>59</v>
      </c>
      <c r="D3463" s="2" t="s">
        <v>18</v>
      </c>
      <c r="E3463" s="5">
        <v>-29316</v>
      </c>
      <c r="F3463" s="3" t="s">
        <v>166</v>
      </c>
      <c r="G3463" s="3" t="s">
        <v>38</v>
      </c>
      <c r="H3463" s="2" t="s">
        <v>65</v>
      </c>
      <c r="I3463" s="2" t="s">
        <v>8489</v>
      </c>
      <c r="J3463" s="3" t="str">
        <f>HYPERLINK("https://www.boe.es/gazeta/dias/1819/09/25/pdfs/GMD-1819-118.pdf#page=5","Abrir facsímil")</f>
        <v>Abrir facsímil</v>
      </c>
      <c r="K3463" s="3" t="s">
        <v>67</v>
      </c>
    </row>
    <row r="3464" spans="1:11" ht="42" customHeight="1">
      <c r="A3464" s="2" t="s">
        <v>8490</v>
      </c>
      <c r="B3464" s="2" t="s">
        <v>8491</v>
      </c>
      <c r="C3464" s="2" t="s">
        <v>80</v>
      </c>
      <c r="D3464" s="2" t="s">
        <v>81</v>
      </c>
      <c r="E3464" s="5">
        <v>-29463</v>
      </c>
      <c r="F3464" s="3" t="s">
        <v>114</v>
      </c>
      <c r="G3464" s="3" t="s">
        <v>33</v>
      </c>
      <c r="H3464" s="2" t="s">
        <v>65</v>
      </c>
      <c r="I3464" s="2" t="s">
        <v>8492</v>
      </c>
      <c r="J3464" s="3" t="str">
        <f>HYPERLINK("https://www.boe.es/gazeta/dias/1819/05/01/pdfs/GMD-1819-52.pdf#page=6","Abrir facsímil")</f>
        <v>Abrir facsímil</v>
      </c>
      <c r="K3464" s="3" t="s">
        <v>67</v>
      </c>
    </row>
    <row r="3465" spans="1:11" ht="42" customHeight="1">
      <c r="A3465" s="2" t="s">
        <v>8493</v>
      </c>
      <c r="B3465" s="2" t="s">
        <v>8494</v>
      </c>
      <c r="C3465" s="2" t="s">
        <v>80</v>
      </c>
      <c r="D3465" s="2" t="s">
        <v>81</v>
      </c>
      <c r="E3465" s="5">
        <v>-29274</v>
      </c>
      <c r="F3465" s="3" t="s">
        <v>247</v>
      </c>
      <c r="G3465" s="3" t="s">
        <v>55</v>
      </c>
      <c r="H3465" s="2" t="s">
        <v>21</v>
      </c>
      <c r="I3465" s="2" t="s">
        <v>8495</v>
      </c>
      <c r="J3465" s="3" t="str">
        <f>HYPERLINK("https://www.boe.es/gazeta/dias/1819/11/06/pdfs/GMD-1819-137.pdf#page=7","Abrir facsímil")</f>
        <v>Abrir facsímil</v>
      </c>
      <c r="K3465" s="3" t="s">
        <v>23</v>
      </c>
    </row>
    <row r="3466" spans="1:11" ht="42" customHeight="1">
      <c r="A3466" s="2" t="s">
        <v>8496</v>
      </c>
      <c r="B3466" s="2" t="s">
        <v>8497</v>
      </c>
      <c r="C3466" s="2" t="s">
        <v>80</v>
      </c>
      <c r="D3466" s="2" t="s">
        <v>81</v>
      </c>
      <c r="E3466" s="5">
        <v>-29285</v>
      </c>
      <c r="F3466" s="3" t="s">
        <v>578</v>
      </c>
      <c r="G3466" s="3" t="s">
        <v>33</v>
      </c>
      <c r="H3466" s="2" t="s">
        <v>65</v>
      </c>
      <c r="I3466" s="2" t="s">
        <v>8498</v>
      </c>
      <c r="J3466" s="3" t="str">
        <f>HYPERLINK("https://www.boe.es/gazeta/dias/1819/10/26/pdfs/GMD-1819-132.pdf#page=6","Abrir facsímil")</f>
        <v>Abrir facsímil</v>
      </c>
      <c r="K3466" s="3" t="s">
        <v>67</v>
      </c>
    </row>
    <row r="3467" spans="1:11" ht="42" customHeight="1">
      <c r="A3467" s="2" t="s">
        <v>8496</v>
      </c>
      <c r="B3467" s="2" t="s">
        <v>8497</v>
      </c>
      <c r="C3467" s="2" t="s">
        <v>80</v>
      </c>
      <c r="D3467" s="2" t="s">
        <v>81</v>
      </c>
      <c r="E3467" s="5">
        <v>-29276</v>
      </c>
      <c r="F3467" s="3" t="s">
        <v>54</v>
      </c>
      <c r="G3467" s="3" t="s">
        <v>8499</v>
      </c>
      <c r="H3467" s="2" t="s">
        <v>65</v>
      </c>
      <c r="I3467" s="2" t="s">
        <v>8500</v>
      </c>
      <c r="J3467" s="3" t="str">
        <f>HYPERLINK("https://www.boe.es/gazeta/dias/1819/11/04/pdfs/GMD-1819-136.pdf#page=4","Abrir facsímil")</f>
        <v>Abrir facsímil</v>
      </c>
      <c r="K3467" s="3" t="s">
        <v>67</v>
      </c>
    </row>
    <row r="3468" spans="1:11" ht="42" customHeight="1">
      <c r="A3468" s="2" t="s">
        <v>8496</v>
      </c>
      <c r="B3468" s="2" t="s">
        <v>8497</v>
      </c>
      <c r="C3468" s="2" t="s">
        <v>63</v>
      </c>
      <c r="D3468" s="2" t="s">
        <v>43</v>
      </c>
      <c r="E3468" s="5">
        <v>-29222</v>
      </c>
      <c r="F3468" s="3" t="s">
        <v>338</v>
      </c>
      <c r="G3468" s="3" t="s">
        <v>55</v>
      </c>
      <c r="H3468" s="2" t="s">
        <v>65</v>
      </c>
      <c r="I3468" s="2" t="s">
        <v>8501</v>
      </c>
      <c r="J3468" s="3" t="str">
        <f>HYPERLINK("https://www.boe.es/gazeta/dias/1819/12/28/pdfs/GMD-1819-159.pdf#page=7","Abrir facsímil")</f>
        <v>Abrir facsímil</v>
      </c>
      <c r="K3468" s="3" t="s">
        <v>67</v>
      </c>
    </row>
    <row r="3469" spans="1:11" ht="42" customHeight="1">
      <c r="A3469" s="2" t="s">
        <v>8502</v>
      </c>
      <c r="B3469" s="2" t="s">
        <v>8503</v>
      </c>
      <c r="C3469" s="2" t="s">
        <v>59</v>
      </c>
      <c r="D3469" s="2" t="s">
        <v>454</v>
      </c>
      <c r="E3469" s="5">
        <v>-29419</v>
      </c>
      <c r="F3469" s="3" t="s">
        <v>1491</v>
      </c>
      <c r="G3469" s="3" t="s">
        <v>259</v>
      </c>
      <c r="H3469" s="2" t="s">
        <v>65</v>
      </c>
      <c r="I3469" s="2" t="s">
        <v>8504</v>
      </c>
      <c r="J3469" s="3" t="str">
        <f>HYPERLINK("https://www.boe.es/gazeta/dias/1819/06/14/pdfs/GMD-1819-71E.pdf#page=2","Abrir facsímil")</f>
        <v>Abrir facsímil</v>
      </c>
      <c r="K3469" s="3" t="s">
        <v>67</v>
      </c>
    </row>
    <row r="3470" spans="1:11" ht="42" customHeight="1">
      <c r="A3470" s="2" t="s">
        <v>8505</v>
      </c>
      <c r="B3470" s="2" t="s">
        <v>8506</v>
      </c>
      <c r="C3470" s="2" t="s">
        <v>17</v>
      </c>
      <c r="D3470" s="2" t="s">
        <v>18</v>
      </c>
      <c r="E3470" s="5">
        <v>-29327</v>
      </c>
      <c r="F3470" s="3" t="s">
        <v>620</v>
      </c>
      <c r="G3470" s="3" t="s">
        <v>4739</v>
      </c>
      <c r="H3470" s="2" t="s">
        <v>65</v>
      </c>
      <c r="I3470" s="2" t="s">
        <v>8507</v>
      </c>
      <c r="J3470" s="3" t="str">
        <f>HYPERLINK("https://www.boe.es/gazeta/dias/1819/09/14/pdfs/GMD-1819-112.pdf#page=6","Abrir facsímil")</f>
        <v>Abrir facsímil</v>
      </c>
      <c r="K3470" s="3" t="s">
        <v>67</v>
      </c>
    </row>
    <row r="3471" spans="1:11" ht="42" customHeight="1">
      <c r="A3471" s="2" t="s">
        <v>8508</v>
      </c>
      <c r="B3471" s="2" t="s">
        <v>8509</v>
      </c>
      <c r="C3471" s="2" t="s">
        <v>80</v>
      </c>
      <c r="D3471" s="2" t="s">
        <v>454</v>
      </c>
      <c r="E3471" s="5">
        <v>-29287</v>
      </c>
      <c r="F3471" s="3" t="s">
        <v>455</v>
      </c>
      <c r="G3471" s="3" t="s">
        <v>1113</v>
      </c>
      <c r="H3471" s="2" t="s">
        <v>65</v>
      </c>
      <c r="I3471" s="2" t="s">
        <v>8510</v>
      </c>
      <c r="J3471" s="3" t="str">
        <f>HYPERLINK("https://www.boe.es/gazeta/dias/1819/10/24/pdfs/GMD-1819-131E.pdf#page=7","Abrir facsímil")</f>
        <v>Abrir facsímil</v>
      </c>
      <c r="K3471" s="3" t="s">
        <v>67</v>
      </c>
    </row>
    <row r="3472" spans="1:11" ht="42" customHeight="1">
      <c r="A3472" s="2" t="s">
        <v>8511</v>
      </c>
      <c r="B3472" s="2" t="s">
        <v>8512</v>
      </c>
      <c r="C3472" s="2" t="s">
        <v>63</v>
      </c>
      <c r="D3472" s="2" t="s">
        <v>43</v>
      </c>
      <c r="E3472" s="5">
        <v>-29395</v>
      </c>
      <c r="F3472" s="3" t="s">
        <v>684</v>
      </c>
      <c r="G3472" s="3" t="s">
        <v>685</v>
      </c>
      <c r="H3472" s="2" t="s">
        <v>65</v>
      </c>
      <c r="I3472" s="2" t="s">
        <v>8513</v>
      </c>
      <c r="J3472" s="3" t="str">
        <f>HYPERLINK("https://www.boe.es/gazeta/dias/1819/07/08/pdfs/GMD-1819-82.pdf#page=8","Abrir facsímil")</f>
        <v>Abrir facsímil</v>
      </c>
      <c r="K3472" s="3" t="s">
        <v>67</v>
      </c>
    </row>
    <row r="3473" spans="1:11" ht="42" customHeight="1">
      <c r="A3473" s="2" t="s">
        <v>8514</v>
      </c>
      <c r="B3473" s="2" t="s">
        <v>8515</v>
      </c>
      <c r="C3473" s="2" t="s">
        <v>80</v>
      </c>
      <c r="D3473" s="2" t="s">
        <v>81</v>
      </c>
      <c r="E3473" s="5">
        <v>-29290</v>
      </c>
      <c r="F3473" s="3" t="s">
        <v>622</v>
      </c>
      <c r="G3473" s="3" t="s">
        <v>33</v>
      </c>
      <c r="H3473" s="2" t="s">
        <v>65</v>
      </c>
      <c r="I3473" s="2" t="s">
        <v>8516</v>
      </c>
      <c r="J3473" s="3" t="str">
        <f>HYPERLINK("https://www.boe.es/gazeta/dias/1819/10/21/pdfs/GMD-1819-129.pdf#page=6","Abrir facsímil")</f>
        <v>Abrir facsímil</v>
      </c>
      <c r="K3473" s="3" t="s">
        <v>67</v>
      </c>
    </row>
    <row r="3474" spans="1:11" ht="42" customHeight="1">
      <c r="A3474" s="2" t="s">
        <v>8517</v>
      </c>
      <c r="B3474" s="2" t="s">
        <v>8517</v>
      </c>
      <c r="C3474" s="2" t="s">
        <v>63</v>
      </c>
      <c r="D3474" s="2" t="s">
        <v>43</v>
      </c>
      <c r="E3474" s="5">
        <v>-29297</v>
      </c>
      <c r="F3474" s="3" t="s">
        <v>82</v>
      </c>
      <c r="G3474" s="3" t="s">
        <v>55</v>
      </c>
      <c r="H3474" s="2" t="s">
        <v>65</v>
      </c>
      <c r="I3474" s="2" t="s">
        <v>8518</v>
      </c>
      <c r="J3474" s="3" t="str">
        <f>HYPERLINK("https://www.boe.es/gazeta/dias/1819/10/14/pdfs/GMD-1819-126.pdf#page=7","Abrir facsímil")</f>
        <v>Abrir facsímil</v>
      </c>
      <c r="K3474" s="3" t="s">
        <v>67</v>
      </c>
    </row>
    <row r="3475" spans="1:11" ht="42" customHeight="1">
      <c r="A3475" s="2" t="s">
        <v>8519</v>
      </c>
      <c r="B3475" s="2" t="s">
        <v>8520</v>
      </c>
      <c r="C3475" s="2" t="s">
        <v>63</v>
      </c>
      <c r="D3475" s="2" t="s">
        <v>43</v>
      </c>
      <c r="E3475" s="5">
        <v>-29537</v>
      </c>
      <c r="F3475" s="3" t="s">
        <v>593</v>
      </c>
      <c r="G3475" s="3" t="s">
        <v>138</v>
      </c>
      <c r="H3475" s="2" t="s">
        <v>21</v>
      </c>
      <c r="I3475" s="2" t="s">
        <v>8521</v>
      </c>
      <c r="J3475" s="3" t="str">
        <f>HYPERLINK("https://www.boe.es/gazeta/dias/1819/02/16/pdfs/GMD-1819-20.pdf#page=12","Abrir facsímil")</f>
        <v>Abrir facsímil</v>
      </c>
      <c r="K3475" s="3" t="s">
        <v>23</v>
      </c>
    </row>
    <row r="3476" spans="1:11" ht="42" customHeight="1">
      <c r="A3476" s="2" t="s">
        <v>8522</v>
      </c>
      <c r="B3476" s="2" t="s">
        <v>8523</v>
      </c>
      <c r="C3476" s="2" t="s">
        <v>59</v>
      </c>
      <c r="D3476" s="2" t="s">
        <v>18</v>
      </c>
      <c r="E3476" s="5">
        <v>-29267</v>
      </c>
      <c r="F3476" s="3" t="s">
        <v>370</v>
      </c>
      <c r="G3476" s="3" t="s">
        <v>33</v>
      </c>
      <c r="H3476" s="2" t="s">
        <v>65</v>
      </c>
      <c r="I3476" s="2" t="s">
        <v>8524</v>
      </c>
      <c r="J3476" s="3" t="str">
        <f>HYPERLINK("https://www.boe.es/gazeta/dias/1819/11/13/pdfs/GMD-1819-140.pdf#page=6","Abrir facsímil")</f>
        <v>Abrir facsímil</v>
      </c>
      <c r="K3476" s="3" t="s">
        <v>67</v>
      </c>
    </row>
    <row r="3477" spans="1:11" ht="42" customHeight="1">
      <c r="A3477" s="2" t="s">
        <v>8525</v>
      </c>
      <c r="B3477" s="2" t="s">
        <v>8525</v>
      </c>
      <c r="C3477" s="2" t="s">
        <v>246</v>
      </c>
      <c r="D3477" s="2" t="s">
        <v>18</v>
      </c>
      <c r="E3477" s="5">
        <v>-29456</v>
      </c>
      <c r="F3477" s="3" t="s">
        <v>468</v>
      </c>
      <c r="G3477" s="3" t="s">
        <v>28</v>
      </c>
      <c r="H3477" s="2" t="s">
        <v>65</v>
      </c>
      <c r="I3477" s="2" t="s">
        <v>8526</v>
      </c>
      <c r="J3477" s="3" t="str">
        <f>HYPERLINK("https://www.boe.es/gazeta/dias/1819/05/08/pdfs/GMD-1819-55.pdf#page=8","Abrir facsímil")</f>
        <v>Abrir facsímil</v>
      </c>
      <c r="K3477" s="3" t="s">
        <v>67</v>
      </c>
    </row>
    <row r="3478" spans="1:11" ht="42" customHeight="1">
      <c r="A3478" s="2" t="s">
        <v>8527</v>
      </c>
      <c r="B3478" s="2" t="s">
        <v>8527</v>
      </c>
      <c r="C3478" s="2" t="s">
        <v>59</v>
      </c>
      <c r="D3478" s="2" t="s">
        <v>18</v>
      </c>
      <c r="E3478" s="5">
        <v>-29528</v>
      </c>
      <c r="F3478" s="3" t="s">
        <v>708</v>
      </c>
      <c r="G3478" s="3" t="s">
        <v>55</v>
      </c>
      <c r="H3478" s="2" t="s">
        <v>65</v>
      </c>
      <c r="I3478" s="2" t="s">
        <v>8528</v>
      </c>
      <c r="J3478" s="3" t="str">
        <f>HYPERLINK("https://www.boe.es/gazeta/dias/1819/02/25/pdfs/GMD-1819-24.pdf#page=7","Abrir facsímil")</f>
        <v>Abrir facsímil</v>
      </c>
      <c r="K3478" s="3" t="s">
        <v>67</v>
      </c>
    </row>
    <row r="3479" spans="1:11" ht="42" customHeight="1">
      <c r="A3479" s="2" t="s">
        <v>8529</v>
      </c>
      <c r="B3479" s="2" t="s">
        <v>8530</v>
      </c>
      <c r="C3479" s="2" t="s">
        <v>80</v>
      </c>
      <c r="D3479" s="2" t="s">
        <v>81</v>
      </c>
      <c r="E3479" s="5">
        <v>-29264</v>
      </c>
      <c r="F3479" s="3" t="s">
        <v>37</v>
      </c>
      <c r="G3479" s="3" t="s">
        <v>1794</v>
      </c>
      <c r="H3479" s="2" t="s">
        <v>65</v>
      </c>
      <c r="I3479" s="2" t="s">
        <v>8531</v>
      </c>
      <c r="J3479" s="3" t="str">
        <f>HYPERLINK("https://www.boe.es/gazeta/dias/1819/11/16/pdfs/GMD-1819-141.pdf#page=11","Abrir facsímil")</f>
        <v>Abrir facsímil</v>
      </c>
      <c r="K3479" s="3" t="s">
        <v>67</v>
      </c>
    </row>
    <row r="3480" spans="1:11" ht="42" customHeight="1">
      <c r="A3480" s="2" t="s">
        <v>8532</v>
      </c>
      <c r="B3480" s="2" t="s">
        <v>8533</v>
      </c>
      <c r="C3480" s="2" t="s">
        <v>63</v>
      </c>
      <c r="D3480" s="2" t="s">
        <v>43</v>
      </c>
      <c r="E3480" s="5">
        <v>-29365</v>
      </c>
      <c r="F3480" s="3" t="s">
        <v>218</v>
      </c>
      <c r="G3480" s="3" t="s">
        <v>28</v>
      </c>
      <c r="H3480" s="2" t="s">
        <v>65</v>
      </c>
      <c r="I3480" s="2" t="s">
        <v>8534</v>
      </c>
      <c r="J3480" s="3" t="str">
        <f>HYPERLINK("https://www.boe.es/gazeta/dias/1819/08/07/pdfs/GMD-1819-95.pdf#page=8","Abrir facsímil")</f>
        <v>Abrir facsímil</v>
      </c>
      <c r="K3480" s="3" t="s">
        <v>67</v>
      </c>
    </row>
    <row r="3481" spans="1:11" ht="42" customHeight="1">
      <c r="A3481" s="2" t="s">
        <v>8535</v>
      </c>
      <c r="B3481" s="2" t="s">
        <v>8536</v>
      </c>
      <c r="C3481" s="2" t="s">
        <v>26</v>
      </c>
      <c r="D3481" s="2" t="s">
        <v>18</v>
      </c>
      <c r="E3481" s="5">
        <v>-29400</v>
      </c>
      <c r="F3481" s="3" t="s">
        <v>2181</v>
      </c>
      <c r="G3481" s="3" t="s">
        <v>3943</v>
      </c>
      <c r="H3481" s="2" t="s">
        <v>65</v>
      </c>
      <c r="I3481" s="2" t="s">
        <v>8537</v>
      </c>
      <c r="J3481" s="3" t="str">
        <f>HYPERLINK("https://www.boe.es/gazeta/dias/1819/07/03/pdfs/GMD-1819-80.pdf#page=6","Abrir facsímil")</f>
        <v>Abrir facsímil</v>
      </c>
      <c r="K3481" s="3" t="s">
        <v>67</v>
      </c>
    </row>
    <row r="3482" spans="1:11" ht="42" customHeight="1">
      <c r="A3482" s="2" t="s">
        <v>8538</v>
      </c>
      <c r="B3482" s="2" t="s">
        <v>8539</v>
      </c>
      <c r="C3482" s="2" t="s">
        <v>80</v>
      </c>
      <c r="D3482" s="2" t="s">
        <v>81</v>
      </c>
      <c r="E3482" s="5">
        <v>-29304</v>
      </c>
      <c r="F3482" s="3" t="s">
        <v>519</v>
      </c>
      <c r="G3482" s="3" t="s">
        <v>38</v>
      </c>
      <c r="H3482" s="2" t="s">
        <v>65</v>
      </c>
      <c r="I3482" s="2" t="s">
        <v>8540</v>
      </c>
      <c r="J3482" s="3" t="str">
        <f>HYPERLINK("https://www.boe.es/gazeta/dias/1819/10/07/pdfs/GMD-1819-123.pdf#page=5","Abrir facsímil")</f>
        <v>Abrir facsímil</v>
      </c>
      <c r="K3482" s="3" t="s">
        <v>67</v>
      </c>
    </row>
    <row r="3483" spans="1:11" ht="42" customHeight="1">
      <c r="A3483" s="2" t="s">
        <v>8541</v>
      </c>
      <c r="B3483" s="2" t="s">
        <v>8542</v>
      </c>
      <c r="C3483" s="2" t="s">
        <v>80</v>
      </c>
      <c r="D3483" s="2" t="s">
        <v>81</v>
      </c>
      <c r="E3483" s="5">
        <v>-29572</v>
      </c>
      <c r="F3483" s="3" t="s">
        <v>589</v>
      </c>
      <c r="G3483" s="3" t="s">
        <v>2934</v>
      </c>
      <c r="H3483" s="2" t="s">
        <v>65</v>
      </c>
      <c r="I3483" s="2" t="s">
        <v>8543</v>
      </c>
      <c r="J3483" s="3" t="str">
        <f>HYPERLINK("https://www.boe.es/gazeta/dias/1819/01/12/pdfs/GMD-1819-5.pdf#page=5","Abrir facsímil")</f>
        <v>Abrir facsímil</v>
      </c>
      <c r="K3483" s="3" t="s">
        <v>67</v>
      </c>
    </row>
    <row r="3484" spans="1:11" ht="42" customHeight="1">
      <c r="A3484" s="2" t="s">
        <v>8544</v>
      </c>
      <c r="B3484" s="2" t="s">
        <v>8545</v>
      </c>
      <c r="C3484" s="2" t="s">
        <v>80</v>
      </c>
      <c r="D3484" s="2" t="s">
        <v>81</v>
      </c>
      <c r="E3484" s="5">
        <v>-29304</v>
      </c>
      <c r="F3484" s="3" t="s">
        <v>519</v>
      </c>
      <c r="G3484" s="3" t="s">
        <v>38</v>
      </c>
      <c r="H3484" s="2" t="s">
        <v>65</v>
      </c>
      <c r="I3484" s="2" t="s">
        <v>8546</v>
      </c>
      <c r="J3484" s="3" t="str">
        <f>HYPERLINK("https://www.boe.es/gazeta/dias/1819/10/07/pdfs/GMD-1819-123.pdf#page=5","Abrir facsímil")</f>
        <v>Abrir facsímil</v>
      </c>
      <c r="K3484" s="3" t="s">
        <v>67</v>
      </c>
    </row>
    <row r="3485" spans="1:11" ht="42" customHeight="1">
      <c r="A3485" s="2" t="s">
        <v>8547</v>
      </c>
      <c r="B3485" s="2" t="s">
        <v>8548</v>
      </c>
      <c r="C3485" s="2" t="s">
        <v>80</v>
      </c>
      <c r="D3485" s="2" t="s">
        <v>81</v>
      </c>
      <c r="E3485" s="5">
        <v>-29416</v>
      </c>
      <c r="F3485" s="3" t="s">
        <v>251</v>
      </c>
      <c r="G3485" s="3" t="s">
        <v>38</v>
      </c>
      <c r="H3485" s="2" t="s">
        <v>65</v>
      </c>
      <c r="I3485" s="2" t="s">
        <v>8549</v>
      </c>
      <c r="J3485" s="3" t="str">
        <f>HYPERLINK("https://www.boe.es/gazeta/dias/1819/06/17/pdfs/GMD-1819-73.pdf#page=5","Abrir facsímil")</f>
        <v>Abrir facsímil</v>
      </c>
      <c r="K3485" s="3" t="s">
        <v>67</v>
      </c>
    </row>
    <row r="3486" spans="1:11" ht="42" customHeight="1">
      <c r="A3486" s="2" t="s">
        <v>8550</v>
      </c>
      <c r="B3486" s="2" t="s">
        <v>8551</v>
      </c>
      <c r="C3486" s="2" t="s">
        <v>80</v>
      </c>
      <c r="D3486" s="2" t="s">
        <v>81</v>
      </c>
      <c r="E3486" s="5">
        <v>-29456</v>
      </c>
      <c r="F3486" s="3" t="s">
        <v>468</v>
      </c>
      <c r="G3486" s="3" t="s">
        <v>33</v>
      </c>
      <c r="H3486" s="2" t="s">
        <v>65</v>
      </c>
      <c r="I3486" s="2" t="s">
        <v>8552</v>
      </c>
      <c r="J3486" s="3" t="str">
        <f>HYPERLINK("https://www.boe.es/gazeta/dias/1819/05/08/pdfs/GMD-1819-55.pdf#page=6","Abrir facsímil")</f>
        <v>Abrir facsímil</v>
      </c>
      <c r="K3486" s="3" t="s">
        <v>67</v>
      </c>
    </row>
    <row r="3487" spans="1:11" ht="42" customHeight="1">
      <c r="A3487" s="2" t="s">
        <v>8553</v>
      </c>
      <c r="B3487" s="2" t="s">
        <v>8553</v>
      </c>
      <c r="C3487" s="2" t="s">
        <v>59</v>
      </c>
      <c r="D3487" s="2" t="s">
        <v>18</v>
      </c>
      <c r="E3487" s="5">
        <v>-29285</v>
      </c>
      <c r="F3487" s="3" t="s">
        <v>578</v>
      </c>
      <c r="G3487" s="3" t="s">
        <v>55</v>
      </c>
      <c r="H3487" s="2" t="s">
        <v>65</v>
      </c>
      <c r="I3487" s="2" t="s">
        <v>8554</v>
      </c>
      <c r="J3487" s="3" t="str">
        <f>HYPERLINK("https://www.boe.es/gazeta/dias/1819/10/26/pdfs/GMD-1819-132.pdf#page=7","Abrir facsímil")</f>
        <v>Abrir facsímil</v>
      </c>
      <c r="K3487" s="3" t="s">
        <v>67</v>
      </c>
    </row>
    <row r="3488" spans="1:11" ht="42" customHeight="1">
      <c r="A3488" s="2" t="s">
        <v>8555</v>
      </c>
      <c r="B3488" s="2" t="s">
        <v>8556</v>
      </c>
      <c r="C3488" s="2" t="s">
        <v>80</v>
      </c>
      <c r="D3488" s="2" t="s">
        <v>81</v>
      </c>
      <c r="E3488" s="5">
        <v>-29264</v>
      </c>
      <c r="F3488" s="3" t="s">
        <v>37</v>
      </c>
      <c r="G3488" s="3" t="s">
        <v>20</v>
      </c>
      <c r="H3488" s="2" t="s">
        <v>65</v>
      </c>
      <c r="I3488" s="2" t="s">
        <v>8557</v>
      </c>
      <c r="J3488" s="3" t="str">
        <f>HYPERLINK("https://www.boe.es/gazeta/dias/1819/11/16/pdfs/GMD-1819-141.pdf#page=10","Abrir facsímil")</f>
        <v>Abrir facsímil</v>
      </c>
      <c r="K3488" s="3" t="s">
        <v>67</v>
      </c>
    </row>
    <row r="3489" spans="1:11" ht="42" customHeight="1">
      <c r="A3489" s="2" t="s">
        <v>8558</v>
      </c>
      <c r="B3489" s="2" t="s">
        <v>8559</v>
      </c>
      <c r="C3489" s="2" t="s">
        <v>136</v>
      </c>
      <c r="D3489" s="2" t="s">
        <v>18</v>
      </c>
      <c r="E3489" s="5">
        <v>-29516</v>
      </c>
      <c r="F3489" s="3" t="s">
        <v>137</v>
      </c>
      <c r="G3489" s="3" t="s">
        <v>20</v>
      </c>
      <c r="H3489" s="2" t="s">
        <v>65</v>
      </c>
      <c r="I3489" s="2" t="s">
        <v>8560</v>
      </c>
      <c r="J3489" s="3" t="str">
        <f>HYPERLINK("https://www.boe.es/gazeta/dias/1819/03/09/pdfs/GMD-1819-29.pdf#page=10","Abrir facsímil")</f>
        <v>Abrir facsímil</v>
      </c>
      <c r="K3489" s="3" t="s">
        <v>67</v>
      </c>
    </row>
    <row r="3490" spans="1:11" ht="42" customHeight="1">
      <c r="A3490" s="2" t="s">
        <v>8561</v>
      </c>
      <c r="B3490" s="2" t="s">
        <v>8562</v>
      </c>
      <c r="C3490" s="2" t="s">
        <v>136</v>
      </c>
      <c r="D3490" s="2" t="s">
        <v>18</v>
      </c>
      <c r="E3490" s="5">
        <v>-29561</v>
      </c>
      <c r="F3490" s="3" t="s">
        <v>290</v>
      </c>
      <c r="G3490" s="3" t="s">
        <v>55</v>
      </c>
      <c r="H3490" s="2" t="s">
        <v>65</v>
      </c>
      <c r="I3490" s="2" t="s">
        <v>8563</v>
      </c>
      <c r="J3490" s="3" t="str">
        <f>HYPERLINK("https://www.boe.es/gazeta/dias/1819/01/23/pdfs/GMD-1819-10.pdf#page=7","Abrir facsímil")</f>
        <v>Abrir facsímil</v>
      </c>
      <c r="K3490" s="3" t="s">
        <v>67</v>
      </c>
    </row>
    <row r="3491" spans="1:11" ht="42" customHeight="1">
      <c r="A3491" s="2" t="s">
        <v>8564</v>
      </c>
      <c r="B3491" s="2" t="s">
        <v>8565</v>
      </c>
      <c r="C3491" s="2" t="s">
        <v>26</v>
      </c>
      <c r="D3491" s="2" t="s">
        <v>18</v>
      </c>
      <c r="E3491" s="5">
        <v>-29467</v>
      </c>
      <c r="F3491" s="3" t="s">
        <v>1712</v>
      </c>
      <c r="G3491" s="3" t="s">
        <v>38</v>
      </c>
      <c r="H3491" s="2" t="s">
        <v>65</v>
      </c>
      <c r="I3491" s="2" t="s">
        <v>8566</v>
      </c>
      <c r="J3491" s="3" t="str">
        <f>HYPERLINK("https://www.boe.es/gazeta/dias/1819/04/27/pdfs/GMD-1819-50.pdf#page=5","Abrir facsímil")</f>
        <v>Abrir facsímil</v>
      </c>
      <c r="K3491" s="3" t="s">
        <v>67</v>
      </c>
    </row>
    <row r="3492" spans="1:11" ht="42" customHeight="1">
      <c r="A3492" s="2" t="s">
        <v>8567</v>
      </c>
      <c r="B3492" s="2" t="s">
        <v>8567</v>
      </c>
      <c r="C3492" s="2" t="s">
        <v>63</v>
      </c>
      <c r="D3492" s="2" t="s">
        <v>43</v>
      </c>
      <c r="E3492" s="5">
        <v>-29316</v>
      </c>
      <c r="F3492" s="3" t="s">
        <v>166</v>
      </c>
      <c r="G3492" s="3" t="s">
        <v>94</v>
      </c>
      <c r="H3492" s="2" t="s">
        <v>65</v>
      </c>
      <c r="I3492" s="2" t="s">
        <v>8568</v>
      </c>
      <c r="J3492" s="3" t="str">
        <f>HYPERLINK("https://www.boe.es/gazeta/dias/1819/09/25/pdfs/GMD-1819-118.pdf#page=11","Abrir facsímil")</f>
        <v>Abrir facsímil</v>
      </c>
      <c r="K3492" s="3" t="s">
        <v>67</v>
      </c>
    </row>
    <row r="3493" spans="1:11" ht="42" customHeight="1">
      <c r="A3493" s="2" t="s">
        <v>8569</v>
      </c>
      <c r="B3493" s="2" t="s">
        <v>8569</v>
      </c>
      <c r="C3493" s="2" t="s">
        <v>26</v>
      </c>
      <c r="D3493" s="2" t="s">
        <v>18</v>
      </c>
      <c r="E3493" s="5">
        <v>-29505</v>
      </c>
      <c r="F3493" s="3" t="s">
        <v>597</v>
      </c>
      <c r="G3493" s="3" t="s">
        <v>33</v>
      </c>
      <c r="H3493" s="2" t="s">
        <v>65</v>
      </c>
      <c r="I3493" s="2" t="s">
        <v>8570</v>
      </c>
      <c r="J3493" s="3" t="str">
        <f>HYPERLINK("https://www.boe.es/gazeta/dias/1819/03/20/pdfs/GMD-1819-34.pdf#page=6","Abrir facsímil")</f>
        <v>Abrir facsímil</v>
      </c>
      <c r="K3493" s="3" t="s">
        <v>67</v>
      </c>
    </row>
    <row r="3494" spans="1:11" ht="42" customHeight="1">
      <c r="A3494" s="2" t="s">
        <v>8571</v>
      </c>
      <c r="B3494" s="2" t="s">
        <v>8572</v>
      </c>
      <c r="C3494" s="2" t="s">
        <v>63</v>
      </c>
      <c r="D3494" s="2" t="s">
        <v>43</v>
      </c>
      <c r="E3494" s="5">
        <v>-29281</v>
      </c>
      <c r="F3494" s="3" t="s">
        <v>19</v>
      </c>
      <c r="G3494" s="3" t="s">
        <v>38</v>
      </c>
      <c r="H3494" s="2" t="s">
        <v>65</v>
      </c>
      <c r="I3494" s="2" t="s">
        <v>8573</v>
      </c>
      <c r="J3494" s="3" t="str">
        <f>HYPERLINK("https://www.boe.es/gazeta/dias/1819/10/30/pdfs/GMD-1819-134.pdf#page=5","Abrir facsímil")</f>
        <v>Abrir facsímil</v>
      </c>
      <c r="K3494" s="3" t="s">
        <v>67</v>
      </c>
    </row>
    <row r="3495" spans="1:11" ht="42" customHeight="1">
      <c r="A3495" s="2" t="s">
        <v>8574</v>
      </c>
      <c r="B3495" s="2" t="s">
        <v>8575</v>
      </c>
      <c r="C3495" s="2" t="s">
        <v>80</v>
      </c>
      <c r="D3495" s="2" t="s">
        <v>81</v>
      </c>
      <c r="E3495" s="5">
        <v>-29262</v>
      </c>
      <c r="F3495" s="3" t="s">
        <v>1428</v>
      </c>
      <c r="G3495" s="3" t="s">
        <v>33</v>
      </c>
      <c r="H3495" s="2" t="s">
        <v>65</v>
      </c>
      <c r="I3495" s="2" t="s">
        <v>8576</v>
      </c>
      <c r="J3495" s="3" t="str">
        <f>HYPERLINK("https://www.boe.es/gazeta/dias/1819/11/18/pdfs/GMD-1819-142.pdf#page=6","Abrir facsímil")</f>
        <v>Abrir facsímil</v>
      </c>
      <c r="K3495" s="3" t="s">
        <v>67</v>
      </c>
    </row>
    <row r="3496" spans="1:11" ht="42" customHeight="1">
      <c r="A3496" s="2" t="s">
        <v>8577</v>
      </c>
      <c r="B3496" s="2" t="s">
        <v>8578</v>
      </c>
      <c r="C3496" s="2" t="s">
        <v>59</v>
      </c>
      <c r="D3496" s="2" t="s">
        <v>18</v>
      </c>
      <c r="E3496" s="5">
        <v>-29575</v>
      </c>
      <c r="F3496" s="3" t="s">
        <v>77</v>
      </c>
      <c r="G3496" s="3" t="s">
        <v>55</v>
      </c>
      <c r="H3496" s="2" t="s">
        <v>21</v>
      </c>
      <c r="I3496" s="2" t="s">
        <v>8579</v>
      </c>
      <c r="J3496" s="3" t="str">
        <f>HYPERLINK("https://www.boe.es/gazeta/dias/1819/01/09/pdfs/GMD-1819-4.pdf#page=7","Abrir facsímil")</f>
        <v>Abrir facsímil</v>
      </c>
      <c r="K3496" s="3" t="s">
        <v>23</v>
      </c>
    </row>
    <row r="3497" spans="1:11" ht="42" customHeight="1">
      <c r="A3497" s="2" t="s">
        <v>8580</v>
      </c>
      <c r="B3497" s="2" t="s">
        <v>8581</v>
      </c>
      <c r="C3497" s="2" t="s">
        <v>63</v>
      </c>
      <c r="D3497" s="2" t="s">
        <v>43</v>
      </c>
      <c r="E3497" s="5">
        <v>-29533</v>
      </c>
      <c r="F3497" s="3" t="s">
        <v>280</v>
      </c>
      <c r="G3497" s="3" t="s">
        <v>28</v>
      </c>
      <c r="H3497" s="2" t="s">
        <v>65</v>
      </c>
      <c r="I3497" s="2" t="s">
        <v>8582</v>
      </c>
      <c r="J3497" s="3" t="str">
        <f>HYPERLINK("https://www.boe.es/gazeta/dias/1819/02/20/pdfs/GMD-1819-22.pdf#page=8","Abrir facsímil")</f>
        <v>Abrir facsímil</v>
      </c>
      <c r="K3497" s="3" t="s">
        <v>67</v>
      </c>
    </row>
    <row r="3498" spans="1:11" ht="42" customHeight="1">
      <c r="A3498" s="2" t="s">
        <v>8583</v>
      </c>
      <c r="B3498" s="2" t="s">
        <v>8584</v>
      </c>
      <c r="C3498" s="2" t="s">
        <v>63</v>
      </c>
      <c r="D3498" s="2" t="s">
        <v>43</v>
      </c>
      <c r="E3498" s="5">
        <v>-29374</v>
      </c>
      <c r="F3498" s="3" t="s">
        <v>204</v>
      </c>
      <c r="G3498" s="3" t="s">
        <v>55</v>
      </c>
      <c r="H3498" s="2" t="s">
        <v>65</v>
      </c>
      <c r="I3498" s="2" t="s">
        <v>8585</v>
      </c>
      <c r="J3498" s="3" t="str">
        <f>HYPERLINK("https://www.boe.es/gazeta/dias/1819/07/29/pdfs/GMD-1819-91.pdf#page=7","Abrir facsímil")</f>
        <v>Abrir facsímil</v>
      </c>
      <c r="K3498" s="3" t="s">
        <v>67</v>
      </c>
    </row>
    <row r="3499" spans="1:11" ht="42" customHeight="1">
      <c r="A3499" s="2" t="s">
        <v>8586</v>
      </c>
      <c r="B3499" s="2" t="s">
        <v>8587</v>
      </c>
      <c r="C3499" s="2" t="s">
        <v>80</v>
      </c>
      <c r="D3499" s="2" t="s">
        <v>81</v>
      </c>
      <c r="E3499" s="5">
        <v>-29439</v>
      </c>
      <c r="F3499" s="3" t="s">
        <v>1101</v>
      </c>
      <c r="G3499" s="3" t="s">
        <v>55</v>
      </c>
      <c r="H3499" s="2" t="s">
        <v>65</v>
      </c>
      <c r="I3499" s="2" t="s">
        <v>8588</v>
      </c>
      <c r="J3499" s="3" t="str">
        <f>HYPERLINK("https://www.boe.es/gazeta/dias/1819/05/25/pdfs/GMD-1819-62.pdf#page=7","Abrir facsímil")</f>
        <v>Abrir facsímil</v>
      </c>
      <c r="K3499" s="3" t="s">
        <v>67</v>
      </c>
    </row>
    <row r="3500" spans="1:11" ht="42" customHeight="1">
      <c r="A3500" s="2" t="s">
        <v>8589</v>
      </c>
      <c r="B3500" s="2" t="s">
        <v>8590</v>
      </c>
      <c r="C3500" s="2" t="s">
        <v>136</v>
      </c>
      <c r="D3500" s="2" t="s">
        <v>18</v>
      </c>
      <c r="E3500" s="5">
        <v>-29521</v>
      </c>
      <c r="F3500" s="3" t="s">
        <v>1002</v>
      </c>
      <c r="G3500" s="3" t="s">
        <v>55</v>
      </c>
      <c r="H3500" s="2" t="s">
        <v>65</v>
      </c>
      <c r="I3500" s="2" t="s">
        <v>8591</v>
      </c>
      <c r="J3500" s="3" t="str">
        <f>HYPERLINK("https://www.boe.es/gazeta/dias/1819/03/04/pdfs/GMD-1819-27.pdf#page=7","Abrir facsímil")</f>
        <v>Abrir facsímil</v>
      </c>
      <c r="K3500" s="3" t="s">
        <v>67</v>
      </c>
    </row>
    <row r="3501" spans="1:11" ht="42" customHeight="1">
      <c r="A3501" s="2" t="s">
        <v>8592</v>
      </c>
      <c r="B3501" s="2" t="s">
        <v>8593</v>
      </c>
      <c r="C3501" s="2" t="s">
        <v>63</v>
      </c>
      <c r="D3501" s="2" t="s">
        <v>43</v>
      </c>
      <c r="E3501" s="5">
        <v>-29297</v>
      </c>
      <c r="F3501" s="3" t="s">
        <v>82</v>
      </c>
      <c r="G3501" s="3" t="s">
        <v>28</v>
      </c>
      <c r="H3501" s="2" t="s">
        <v>65</v>
      </c>
      <c r="I3501" s="2" t="s">
        <v>8594</v>
      </c>
      <c r="J3501" s="3" t="str">
        <f>HYPERLINK("https://www.boe.es/gazeta/dias/1819/10/14/pdfs/GMD-1819-126.pdf#page=8","Abrir facsímil")</f>
        <v>Abrir facsímil</v>
      </c>
      <c r="K3501" s="3" t="s">
        <v>67</v>
      </c>
    </row>
    <row r="3502" spans="1:11" ht="42" customHeight="1">
      <c r="A3502" s="2" t="s">
        <v>8595</v>
      </c>
      <c r="B3502" s="2" t="s">
        <v>8596</v>
      </c>
      <c r="C3502" s="2" t="s">
        <v>59</v>
      </c>
      <c r="D3502" s="2" t="s">
        <v>18</v>
      </c>
      <c r="E3502" s="5">
        <v>-29276</v>
      </c>
      <c r="F3502" s="3" t="s">
        <v>54</v>
      </c>
      <c r="G3502" s="3" t="s">
        <v>55</v>
      </c>
      <c r="H3502" s="2" t="s">
        <v>65</v>
      </c>
      <c r="I3502" s="2" t="s">
        <v>8597</v>
      </c>
      <c r="J3502" s="3" t="str">
        <f>HYPERLINK("https://www.boe.es/gazeta/dias/1819/11/04/pdfs/GMD-1819-136.pdf#page=7","Abrir facsímil")</f>
        <v>Abrir facsímil</v>
      </c>
      <c r="K3502" s="3" t="s">
        <v>67</v>
      </c>
    </row>
    <row r="3503" spans="1:11" ht="42" customHeight="1">
      <c r="A3503" s="2" t="s">
        <v>8598</v>
      </c>
      <c r="B3503" s="2" t="s">
        <v>8599</v>
      </c>
      <c r="C3503" s="2" t="s">
        <v>59</v>
      </c>
      <c r="D3503" s="2" t="s">
        <v>18</v>
      </c>
      <c r="E3503" s="5">
        <v>-29355</v>
      </c>
      <c r="F3503" s="3" t="s">
        <v>347</v>
      </c>
      <c r="G3503" s="3" t="s">
        <v>348</v>
      </c>
      <c r="H3503" s="2" t="s">
        <v>65</v>
      </c>
      <c r="I3503" s="2" t="s">
        <v>8600</v>
      </c>
      <c r="J3503" s="3" t="str">
        <f>HYPERLINK("https://www.boe.es/gazeta/dias/1819/08/17/pdfs/GMD-1819-99.pdf#page=6","Abrir facsímil")</f>
        <v>Abrir facsímil</v>
      </c>
      <c r="K3503" s="3" t="s">
        <v>67</v>
      </c>
    </row>
    <row r="3504" spans="1:11" ht="42" customHeight="1">
      <c r="A3504" s="2" t="s">
        <v>8601</v>
      </c>
      <c r="B3504" s="2" t="s">
        <v>8602</v>
      </c>
      <c r="C3504" s="2" t="s">
        <v>80</v>
      </c>
      <c r="D3504" s="2" t="s">
        <v>81</v>
      </c>
      <c r="E3504" s="5">
        <v>-29264</v>
      </c>
      <c r="F3504" s="3" t="s">
        <v>37</v>
      </c>
      <c r="G3504" s="3" t="s">
        <v>5761</v>
      </c>
      <c r="H3504" s="2" t="s">
        <v>65</v>
      </c>
      <c r="I3504" s="2" t="s">
        <v>8603</v>
      </c>
      <c r="J3504" s="3" t="str">
        <f>HYPERLINK("https://www.boe.es/gazeta/dias/1819/11/16/pdfs/GMD-1819-141.pdf#page=4","Abrir facsímil")</f>
        <v>Abrir facsímil</v>
      </c>
      <c r="K3504" s="3" t="s">
        <v>67</v>
      </c>
    </row>
    <row r="3505" spans="1:11" ht="42" customHeight="1">
      <c r="A3505" s="2" t="s">
        <v>8604</v>
      </c>
      <c r="B3505" s="2" t="s">
        <v>8605</v>
      </c>
      <c r="C3505" s="2" t="s">
        <v>80</v>
      </c>
      <c r="D3505" s="2" t="s">
        <v>81</v>
      </c>
      <c r="E3505" s="5">
        <v>-29439</v>
      </c>
      <c r="F3505" s="3" t="s">
        <v>1101</v>
      </c>
      <c r="G3505" s="3" t="s">
        <v>296</v>
      </c>
      <c r="H3505" s="2" t="s">
        <v>65</v>
      </c>
      <c r="I3505" s="2" t="s">
        <v>8606</v>
      </c>
      <c r="J3505" s="3" t="str">
        <f>HYPERLINK("https://www.boe.es/gazeta/dias/1819/05/25/pdfs/GMD-1819-62.pdf#page=4","Abrir facsímil")</f>
        <v>Abrir facsímil</v>
      </c>
      <c r="K3505" s="3" t="s">
        <v>67</v>
      </c>
    </row>
    <row r="3506" spans="1:11" ht="42" customHeight="1">
      <c r="A3506" s="2" t="s">
        <v>8607</v>
      </c>
      <c r="B3506" s="2" t="s">
        <v>8608</v>
      </c>
      <c r="C3506" s="2" t="s">
        <v>80</v>
      </c>
      <c r="D3506" s="2" t="s">
        <v>81</v>
      </c>
      <c r="E3506" s="5">
        <v>-29537</v>
      </c>
      <c r="F3506" s="3" t="s">
        <v>593</v>
      </c>
      <c r="G3506" s="3" t="s">
        <v>28</v>
      </c>
      <c r="H3506" s="2" t="s">
        <v>65</v>
      </c>
      <c r="I3506" s="2" t="s">
        <v>8609</v>
      </c>
      <c r="J3506" s="3" t="str">
        <f>HYPERLINK("https://www.boe.es/gazeta/dias/1819/02/16/pdfs/GMD-1819-20.pdf#page=8","Abrir facsímil")</f>
        <v>Abrir facsímil</v>
      </c>
      <c r="K3506" s="3" t="s">
        <v>67</v>
      </c>
    </row>
    <row r="3507" spans="1:11" ht="42" customHeight="1">
      <c r="A3507" s="2" t="s">
        <v>8610</v>
      </c>
      <c r="B3507" s="2" t="s">
        <v>8611</v>
      </c>
      <c r="C3507" s="2" t="s">
        <v>59</v>
      </c>
      <c r="D3507" s="2" t="s">
        <v>18</v>
      </c>
      <c r="E3507" s="5">
        <v>-29316</v>
      </c>
      <c r="F3507" s="3" t="s">
        <v>166</v>
      </c>
      <c r="G3507" s="3" t="s">
        <v>38</v>
      </c>
      <c r="H3507" s="2" t="s">
        <v>65</v>
      </c>
      <c r="I3507" s="2" t="s">
        <v>8612</v>
      </c>
      <c r="J3507" s="3" t="str">
        <f>HYPERLINK("https://www.boe.es/gazeta/dias/1819/09/25/pdfs/GMD-1819-118.pdf#page=5","Abrir facsímil")</f>
        <v>Abrir facsímil</v>
      </c>
      <c r="K3507" s="3" t="s">
        <v>67</v>
      </c>
    </row>
    <row r="3508" spans="1:11" ht="42" customHeight="1">
      <c r="A3508" s="2" t="s">
        <v>8613</v>
      </c>
      <c r="B3508" s="2" t="s">
        <v>8614</v>
      </c>
      <c r="C3508" s="2" t="s">
        <v>80</v>
      </c>
      <c r="D3508" s="2" t="s">
        <v>81</v>
      </c>
      <c r="E3508" s="5">
        <v>-29495</v>
      </c>
      <c r="F3508" s="3" t="s">
        <v>992</v>
      </c>
      <c r="G3508" s="3" t="s">
        <v>28</v>
      </c>
      <c r="H3508" s="2" t="s">
        <v>65</v>
      </c>
      <c r="I3508" s="2" t="s">
        <v>8615</v>
      </c>
      <c r="J3508" s="3" t="str">
        <f>HYPERLINK("https://www.boe.es/gazeta/dias/1819/03/30/pdfs/GMD-1819-38.pdf#page=8","Abrir facsímil")</f>
        <v>Abrir facsímil</v>
      </c>
      <c r="K3508" s="3" t="s">
        <v>67</v>
      </c>
    </row>
    <row r="3509" spans="1:11" ht="42" customHeight="1">
      <c r="A3509" s="2" t="s">
        <v>8616</v>
      </c>
      <c r="B3509" s="2" t="s">
        <v>8617</v>
      </c>
      <c r="C3509" s="2" t="s">
        <v>59</v>
      </c>
      <c r="D3509" s="2" t="s">
        <v>18</v>
      </c>
      <c r="E3509" s="5">
        <v>-29281</v>
      </c>
      <c r="F3509" s="3" t="s">
        <v>19</v>
      </c>
      <c r="G3509" s="3" t="s">
        <v>20</v>
      </c>
      <c r="H3509" s="2" t="s">
        <v>65</v>
      </c>
      <c r="I3509" s="2" t="s">
        <v>8618</v>
      </c>
      <c r="J3509" s="3" t="str">
        <f>HYPERLINK("https://www.boe.es/gazeta/dias/1819/10/30/pdfs/GMD-1819-134.pdf#page=10","Abrir facsímil")</f>
        <v>Abrir facsímil</v>
      </c>
      <c r="K3509" s="3" t="s">
        <v>67</v>
      </c>
    </row>
    <row r="3510" spans="1:11" ht="42" customHeight="1">
      <c r="A3510" s="2" t="s">
        <v>8619</v>
      </c>
      <c r="B3510" s="2" t="s">
        <v>8620</v>
      </c>
      <c r="C3510" s="2" t="s">
        <v>63</v>
      </c>
      <c r="D3510" s="2" t="s">
        <v>43</v>
      </c>
      <c r="E3510" s="5">
        <v>-29530</v>
      </c>
      <c r="F3510" s="3" t="s">
        <v>202</v>
      </c>
      <c r="G3510" s="3" t="s">
        <v>138</v>
      </c>
      <c r="H3510" s="2" t="s">
        <v>65</v>
      </c>
      <c r="I3510" s="2" t="s">
        <v>8621</v>
      </c>
      <c r="J3510" s="3" t="str">
        <f>HYPERLINK("https://www.boe.es/gazeta/dias/1819/02/23/pdfs/GMD-1819-23.pdf#page=12","Abrir facsímil")</f>
        <v>Abrir facsímil</v>
      </c>
      <c r="K3510" s="3" t="s">
        <v>67</v>
      </c>
    </row>
    <row r="3511" spans="1:11" ht="42" customHeight="1">
      <c r="A3511" s="2" t="s">
        <v>8619</v>
      </c>
      <c r="B3511" s="2" t="s">
        <v>8620</v>
      </c>
      <c r="C3511" s="2" t="s">
        <v>136</v>
      </c>
      <c r="D3511" s="2" t="s">
        <v>18</v>
      </c>
      <c r="E3511" s="5">
        <v>-29526</v>
      </c>
      <c r="F3511" s="3" t="s">
        <v>307</v>
      </c>
      <c r="G3511" s="3" t="s">
        <v>28</v>
      </c>
      <c r="H3511" s="2" t="s">
        <v>65</v>
      </c>
      <c r="I3511" s="2" t="s">
        <v>8622</v>
      </c>
      <c r="J3511" s="3" t="str">
        <f>HYPERLINK("https://www.boe.es/gazeta/dias/1819/02/27/pdfs/GMD-1819-25.pdf#page=8","Abrir facsímil")</f>
        <v>Abrir facsímil</v>
      </c>
      <c r="K3511" s="3" t="s">
        <v>67</v>
      </c>
    </row>
    <row r="3512" spans="1:11" ht="42" customHeight="1">
      <c r="A3512" s="2" t="s">
        <v>8619</v>
      </c>
      <c r="B3512" s="2" t="s">
        <v>8620</v>
      </c>
      <c r="C3512" s="2" t="s">
        <v>63</v>
      </c>
      <c r="D3512" s="2" t="s">
        <v>43</v>
      </c>
      <c r="E3512" s="5">
        <v>-29507</v>
      </c>
      <c r="F3512" s="3" t="s">
        <v>1928</v>
      </c>
      <c r="G3512" s="3" t="s">
        <v>28</v>
      </c>
      <c r="H3512" s="2" t="s">
        <v>65</v>
      </c>
      <c r="I3512" s="2" t="s">
        <v>8623</v>
      </c>
      <c r="J3512" s="3" t="str">
        <f>HYPERLINK("https://www.boe.es/gazeta/dias/1819/03/18/pdfs/GMD-1819-33.pdf#page=8","Abrir facsímil")</f>
        <v>Abrir facsímil</v>
      </c>
      <c r="K3512" s="3" t="s">
        <v>67</v>
      </c>
    </row>
    <row r="3513" spans="1:11" ht="42" customHeight="1">
      <c r="A3513" s="2" t="s">
        <v>8619</v>
      </c>
      <c r="B3513" s="2" t="s">
        <v>8620</v>
      </c>
      <c r="C3513" s="2" t="s">
        <v>63</v>
      </c>
      <c r="D3513" s="2" t="s">
        <v>43</v>
      </c>
      <c r="E3513" s="5">
        <v>-29479</v>
      </c>
      <c r="F3513" s="3" t="s">
        <v>979</v>
      </c>
      <c r="G3513" s="3" t="s">
        <v>28</v>
      </c>
      <c r="H3513" s="2" t="s">
        <v>65</v>
      </c>
      <c r="I3513" s="2" t="s">
        <v>8624</v>
      </c>
      <c r="J3513" s="3" t="str">
        <f>HYPERLINK("https://www.boe.es/gazeta/dias/1819/04/15/pdfs/GMD-1819-45.pdf#page=8","Abrir facsímil")</f>
        <v>Abrir facsímil</v>
      </c>
      <c r="K3513" s="3" t="s">
        <v>67</v>
      </c>
    </row>
    <row r="3514" spans="1:11" ht="42" customHeight="1">
      <c r="A3514" s="2" t="s">
        <v>8625</v>
      </c>
      <c r="B3514" s="2" t="s">
        <v>8626</v>
      </c>
      <c r="C3514" s="2" t="s">
        <v>17</v>
      </c>
      <c r="D3514" s="2" t="s">
        <v>18</v>
      </c>
      <c r="E3514" s="5">
        <v>-29386</v>
      </c>
      <c r="F3514" s="3" t="s">
        <v>568</v>
      </c>
      <c r="G3514" s="3" t="s">
        <v>28</v>
      </c>
      <c r="H3514" s="2" t="s">
        <v>65</v>
      </c>
      <c r="I3514" s="2" t="s">
        <v>8627</v>
      </c>
      <c r="J3514" s="3" t="str">
        <f>HYPERLINK("https://www.boe.es/gazeta/dias/1819/07/17/pdfs/GMD-1819-86.pdf#page=8","Abrir facsímil")</f>
        <v>Abrir facsímil</v>
      </c>
      <c r="K3514" s="3" t="s">
        <v>67</v>
      </c>
    </row>
    <row r="3515" spans="1:11" ht="42" customHeight="1">
      <c r="A3515" s="2" t="s">
        <v>8619</v>
      </c>
      <c r="B3515" s="2" t="s">
        <v>8620</v>
      </c>
      <c r="C3515" s="2" t="s">
        <v>80</v>
      </c>
      <c r="D3515" s="2" t="s">
        <v>81</v>
      </c>
      <c r="E3515" s="5">
        <v>-29220</v>
      </c>
      <c r="F3515" s="3" t="s">
        <v>397</v>
      </c>
      <c r="G3515" s="3" t="s">
        <v>28</v>
      </c>
      <c r="H3515" s="2" t="s">
        <v>65</v>
      </c>
      <c r="I3515" s="2" t="s">
        <v>8628</v>
      </c>
      <c r="J3515" s="3" t="str">
        <f>HYPERLINK("https://www.boe.es/gazeta/dias/1819/12/30/pdfs/GMD-1819-160.pdf#page=8","Abrir facsímil")</f>
        <v>Abrir facsímil</v>
      </c>
      <c r="K3515" s="3" t="s">
        <v>67</v>
      </c>
    </row>
    <row r="3516" spans="1:11" ht="42" customHeight="1">
      <c r="A3516" s="2" t="s">
        <v>8629</v>
      </c>
      <c r="B3516" s="2" t="s">
        <v>8630</v>
      </c>
      <c r="C3516" s="2" t="s">
        <v>80</v>
      </c>
      <c r="D3516" s="2" t="s">
        <v>81</v>
      </c>
      <c r="E3516" s="5">
        <v>-29582</v>
      </c>
      <c r="F3516" s="3" t="s">
        <v>376</v>
      </c>
      <c r="G3516" s="3" t="s">
        <v>544</v>
      </c>
      <c r="H3516" s="2" t="s">
        <v>65</v>
      </c>
      <c r="I3516" s="2" t="s">
        <v>8631</v>
      </c>
      <c r="J3516" s="3" t="str">
        <f>HYPERLINK("https://www.boe.es/gazeta/dias/1819/01/02/pdfs/GMD-1819-1.pdf#page=6","Abrir facsímil")</f>
        <v>Abrir facsímil</v>
      </c>
      <c r="K3516" s="3" t="s">
        <v>67</v>
      </c>
    </row>
    <row r="3517" spans="1:11" ht="42" customHeight="1">
      <c r="A3517" s="2" t="s">
        <v>8632</v>
      </c>
      <c r="B3517" s="2" t="s">
        <v>8633</v>
      </c>
      <c r="C3517" s="2" t="s">
        <v>63</v>
      </c>
      <c r="D3517" s="2" t="s">
        <v>43</v>
      </c>
      <c r="E3517" s="5">
        <v>-29253</v>
      </c>
      <c r="F3517" s="3" t="s">
        <v>242</v>
      </c>
      <c r="G3517" s="3" t="s">
        <v>2986</v>
      </c>
      <c r="H3517" s="2" t="s">
        <v>65</v>
      </c>
      <c r="I3517" s="2" t="s">
        <v>8634</v>
      </c>
      <c r="J3517" s="3" t="str">
        <f>HYPERLINK("https://www.boe.es/gazeta/dias/1819/11/27/pdfs/GMD-1819-146.pdf#page=8","Abrir facsímil")</f>
        <v>Abrir facsímil</v>
      </c>
      <c r="K3517" s="3" t="s">
        <v>67</v>
      </c>
    </row>
    <row r="3518" spans="1:11" ht="42" customHeight="1">
      <c r="A3518" s="2" t="s">
        <v>8635</v>
      </c>
      <c r="B3518" s="2" t="s">
        <v>8636</v>
      </c>
      <c r="C3518" s="2" t="s">
        <v>80</v>
      </c>
      <c r="D3518" s="2" t="s">
        <v>81</v>
      </c>
      <c r="E3518" s="5">
        <v>-29523</v>
      </c>
      <c r="F3518" s="3" t="s">
        <v>436</v>
      </c>
      <c r="G3518" s="3" t="s">
        <v>2178</v>
      </c>
      <c r="H3518" s="2" t="s">
        <v>65</v>
      </c>
      <c r="I3518" s="2" t="s">
        <v>8637</v>
      </c>
      <c r="J3518" s="3" t="str">
        <f>HYPERLINK("https://www.boe.es/gazeta/dias/1819/03/02/pdfs/GMD-1819-26.pdf#page=7","Abrir facsímil")</f>
        <v>Abrir facsímil</v>
      </c>
      <c r="K3518" s="3" t="s">
        <v>67</v>
      </c>
    </row>
    <row r="3519" spans="1:11" ht="42" customHeight="1">
      <c r="A3519" s="2" t="s">
        <v>8638</v>
      </c>
      <c r="B3519" s="2" t="s">
        <v>8639</v>
      </c>
      <c r="C3519" s="2" t="s">
        <v>136</v>
      </c>
      <c r="D3519" s="2" t="s">
        <v>18</v>
      </c>
      <c r="E3519" s="5">
        <v>-29365</v>
      </c>
      <c r="F3519" s="3" t="s">
        <v>218</v>
      </c>
      <c r="G3519" s="3" t="s">
        <v>28</v>
      </c>
      <c r="H3519" s="2" t="s">
        <v>65</v>
      </c>
      <c r="I3519" s="2" t="s">
        <v>8640</v>
      </c>
      <c r="J3519" s="3" t="str">
        <f>HYPERLINK("https://www.boe.es/gazeta/dias/1819/08/07/pdfs/GMD-1819-95.pdf#page=8","Abrir facsímil")</f>
        <v>Abrir facsímil</v>
      </c>
      <c r="K3519" s="3" t="s">
        <v>67</v>
      </c>
    </row>
    <row r="3520" spans="1:11" ht="42" customHeight="1">
      <c r="A3520" s="2" t="s">
        <v>8641</v>
      </c>
      <c r="B3520" s="2" t="s">
        <v>8642</v>
      </c>
      <c r="C3520" s="2" t="s">
        <v>59</v>
      </c>
      <c r="D3520" s="2" t="s">
        <v>18</v>
      </c>
      <c r="E3520" s="5">
        <v>-29460</v>
      </c>
      <c r="F3520" s="3" t="s">
        <v>1534</v>
      </c>
      <c r="G3520" s="3" t="s">
        <v>33</v>
      </c>
      <c r="H3520" s="2" t="s">
        <v>65</v>
      </c>
      <c r="I3520" s="2" t="s">
        <v>8643</v>
      </c>
      <c r="J3520" s="3" t="str">
        <f>HYPERLINK("https://www.boe.es/gazeta/dias/1819/05/04/pdfs/GMD-1819-53.pdf#page=6","Abrir facsímil")</f>
        <v>Abrir facsímil</v>
      </c>
      <c r="K3520" s="3" t="s">
        <v>67</v>
      </c>
    </row>
    <row r="3521" spans="1:11" ht="42" customHeight="1">
      <c r="A3521" s="2" t="s">
        <v>8644</v>
      </c>
      <c r="B3521" s="2" t="s">
        <v>8645</v>
      </c>
      <c r="C3521" s="2" t="s">
        <v>80</v>
      </c>
      <c r="D3521" s="2" t="s">
        <v>81</v>
      </c>
      <c r="E3521" s="5">
        <v>-29316</v>
      </c>
      <c r="F3521" s="3" t="s">
        <v>166</v>
      </c>
      <c r="G3521" s="3" t="s">
        <v>138</v>
      </c>
      <c r="H3521" s="2" t="s">
        <v>21</v>
      </c>
      <c r="I3521" s="2" t="s">
        <v>8646</v>
      </c>
      <c r="J3521" s="3" t="str">
        <f>HYPERLINK("https://www.boe.es/gazeta/dias/1819/09/25/pdfs/GMD-1819-118.pdf#page=12","Abrir facsímil")</f>
        <v>Abrir facsímil</v>
      </c>
      <c r="K3521" s="3" t="s">
        <v>23</v>
      </c>
    </row>
    <row r="3522" spans="1:11" ht="42" customHeight="1">
      <c r="A3522" s="2" t="s">
        <v>8647</v>
      </c>
      <c r="B3522" s="2" t="s">
        <v>8648</v>
      </c>
      <c r="C3522" s="2" t="s">
        <v>80</v>
      </c>
      <c r="D3522" s="2" t="s">
        <v>81</v>
      </c>
      <c r="E3522" s="5">
        <v>-29239</v>
      </c>
      <c r="F3522" s="3" t="s">
        <v>724</v>
      </c>
      <c r="G3522" s="3" t="s">
        <v>28</v>
      </c>
      <c r="H3522" s="2" t="s">
        <v>21</v>
      </c>
      <c r="I3522" s="2" t="s">
        <v>8649</v>
      </c>
      <c r="J3522" s="3" t="str">
        <f>HYPERLINK("https://www.boe.es/gazeta/dias/1819/12/11/pdfs/GMD-1819-152.pdf#page=8","Abrir facsímil")</f>
        <v>Abrir facsímil</v>
      </c>
      <c r="K3522" s="3" t="s">
        <v>23</v>
      </c>
    </row>
    <row r="3523" spans="1:11" ht="42" customHeight="1">
      <c r="A3523" s="2" t="s">
        <v>8650</v>
      </c>
      <c r="B3523" s="2" t="s">
        <v>8651</v>
      </c>
      <c r="C3523" s="2" t="s">
        <v>59</v>
      </c>
      <c r="D3523" s="2" t="s">
        <v>18</v>
      </c>
      <c r="E3523" s="5">
        <v>-29292</v>
      </c>
      <c r="F3523" s="3" t="s">
        <v>875</v>
      </c>
      <c r="G3523" s="3" t="s">
        <v>28</v>
      </c>
      <c r="H3523" s="2" t="s">
        <v>65</v>
      </c>
      <c r="I3523" s="2" t="s">
        <v>8652</v>
      </c>
      <c r="J3523" s="3" t="str">
        <f>HYPERLINK("https://www.boe.es/gazeta/dias/1819/10/19/pdfs/GMD-1819-128.pdf#page=8","Abrir facsímil")</f>
        <v>Abrir facsímil</v>
      </c>
      <c r="K3523" s="3" t="s">
        <v>67</v>
      </c>
    </row>
    <row r="3524" spans="1:11" ht="42" customHeight="1">
      <c r="A3524" s="2" t="s">
        <v>8653</v>
      </c>
      <c r="B3524" s="2" t="s">
        <v>8654</v>
      </c>
      <c r="C3524" s="2" t="s">
        <v>80</v>
      </c>
      <c r="D3524" s="2" t="s">
        <v>81</v>
      </c>
      <c r="E3524" s="5">
        <v>-29561</v>
      </c>
      <c r="F3524" s="3" t="s">
        <v>290</v>
      </c>
      <c r="G3524" s="3" t="s">
        <v>28</v>
      </c>
      <c r="H3524" s="2" t="s">
        <v>65</v>
      </c>
      <c r="I3524" s="2" t="s">
        <v>8655</v>
      </c>
      <c r="J3524" s="3" t="str">
        <f>HYPERLINK("https://www.boe.es/gazeta/dias/1819/01/23/pdfs/GMD-1819-10.pdf#page=8","Abrir facsímil")</f>
        <v>Abrir facsímil</v>
      </c>
      <c r="K3524" s="3" t="s">
        <v>67</v>
      </c>
    </row>
    <row r="3525" spans="1:11" ht="42" customHeight="1">
      <c r="A3525" s="2" t="s">
        <v>8656</v>
      </c>
      <c r="B3525" s="2" t="s">
        <v>8657</v>
      </c>
      <c r="C3525" s="2" t="s">
        <v>80</v>
      </c>
      <c r="D3525" s="2" t="s">
        <v>81</v>
      </c>
      <c r="E3525" s="5">
        <v>-29388</v>
      </c>
      <c r="F3525" s="3" t="s">
        <v>879</v>
      </c>
      <c r="G3525" s="3" t="s">
        <v>2554</v>
      </c>
      <c r="H3525" s="2" t="s">
        <v>65</v>
      </c>
      <c r="I3525" s="2" t="s">
        <v>8658</v>
      </c>
      <c r="J3525" s="3" t="str">
        <f>HYPERLINK("https://www.boe.es/gazeta/dias/1819/07/15/pdfs/GMD-1819-85.pdf#page=6","Abrir facsímil")</f>
        <v>Abrir facsímil</v>
      </c>
      <c r="K3525" s="3" t="s">
        <v>67</v>
      </c>
    </row>
    <row r="3526" spans="1:11" ht="42" customHeight="1">
      <c r="A3526" s="2" t="s">
        <v>8659</v>
      </c>
      <c r="B3526" s="2" t="s">
        <v>8660</v>
      </c>
      <c r="C3526" s="2" t="s">
        <v>80</v>
      </c>
      <c r="D3526" s="2" t="s">
        <v>81</v>
      </c>
      <c r="E3526" s="5">
        <v>-29302</v>
      </c>
      <c r="F3526" s="3" t="s">
        <v>4877</v>
      </c>
      <c r="G3526" s="3" t="s">
        <v>4878</v>
      </c>
      <c r="H3526" s="2" t="s">
        <v>65</v>
      </c>
      <c r="I3526" s="2" t="s">
        <v>8661</v>
      </c>
      <c r="J3526" s="3" t="str">
        <f>HYPERLINK("https://www.boe.es/gazeta/dias/1819/10/09/pdfs/GMD-1819-124.pdf#page=8","Abrir facsímil")</f>
        <v>Abrir facsímil</v>
      </c>
      <c r="K3526" s="3" t="s">
        <v>67</v>
      </c>
    </row>
    <row r="3527" spans="1:11" ht="42" customHeight="1">
      <c r="A3527" s="2" t="s">
        <v>8662</v>
      </c>
      <c r="B3527" s="2" t="s">
        <v>8663</v>
      </c>
      <c r="C3527" s="2" t="s">
        <v>63</v>
      </c>
      <c r="D3527" s="2" t="s">
        <v>43</v>
      </c>
      <c r="E3527" s="5">
        <v>-29348</v>
      </c>
      <c r="F3527" s="3" t="s">
        <v>227</v>
      </c>
      <c r="G3527" s="3" t="s">
        <v>28</v>
      </c>
      <c r="H3527" s="2" t="s">
        <v>65</v>
      </c>
      <c r="I3527" s="2" t="s">
        <v>8664</v>
      </c>
      <c r="J3527" s="3" t="str">
        <f>HYPERLINK("https://www.boe.es/gazeta/dias/1819/08/24/pdfs/GMD-1819-102.pdf#page=8","Abrir facsímil")</f>
        <v>Abrir facsímil</v>
      </c>
      <c r="K3527" s="3" t="s">
        <v>67</v>
      </c>
    </row>
    <row r="3528" spans="1:11" ht="42" customHeight="1">
      <c r="A3528" s="2" t="s">
        <v>8665</v>
      </c>
      <c r="B3528" s="2" t="s">
        <v>8666</v>
      </c>
      <c r="C3528" s="2" t="s">
        <v>63</v>
      </c>
      <c r="D3528" s="2" t="s">
        <v>43</v>
      </c>
      <c r="E3528" s="5">
        <v>-29253</v>
      </c>
      <c r="F3528" s="3" t="s">
        <v>242</v>
      </c>
      <c r="G3528" s="3" t="s">
        <v>2986</v>
      </c>
      <c r="H3528" s="2" t="s">
        <v>65</v>
      </c>
      <c r="I3528" s="2" t="s">
        <v>8667</v>
      </c>
      <c r="J3528" s="3" t="str">
        <f>HYPERLINK("https://www.boe.es/gazeta/dias/1819/11/27/pdfs/GMD-1819-146.pdf#page=8","Abrir facsímil")</f>
        <v>Abrir facsímil</v>
      </c>
      <c r="K3528" s="3" t="s">
        <v>67</v>
      </c>
    </row>
    <row r="3529" spans="1:11" ht="42" customHeight="1">
      <c r="A3529" s="2" t="s">
        <v>8668</v>
      </c>
      <c r="B3529" s="2" t="s">
        <v>8669</v>
      </c>
      <c r="C3529" s="2" t="s">
        <v>246</v>
      </c>
      <c r="D3529" s="2" t="s">
        <v>18</v>
      </c>
      <c r="E3529" s="5">
        <v>-29250</v>
      </c>
      <c r="F3529" s="3" t="s">
        <v>312</v>
      </c>
      <c r="G3529" s="3" t="s">
        <v>38</v>
      </c>
      <c r="H3529" s="2" t="s">
        <v>65</v>
      </c>
      <c r="I3529" s="2" t="s">
        <v>8670</v>
      </c>
      <c r="J3529" s="3" t="str">
        <f>HYPERLINK("https://www.boe.es/gazeta/dias/1819/11/30/pdfs/GMD-1819-147.pdf#page=5","Abrir facsímil")</f>
        <v>Abrir facsímil</v>
      </c>
      <c r="K3529" s="3" t="s">
        <v>67</v>
      </c>
    </row>
    <row r="3530" spans="1:11" ht="42" customHeight="1">
      <c r="A3530" s="2" t="s">
        <v>8671</v>
      </c>
      <c r="B3530" s="2" t="s">
        <v>8672</v>
      </c>
      <c r="C3530" s="2" t="s">
        <v>80</v>
      </c>
      <c r="D3530" s="2" t="s">
        <v>81</v>
      </c>
      <c r="E3530" s="5">
        <v>-29551</v>
      </c>
      <c r="F3530" s="3" t="s">
        <v>2173</v>
      </c>
      <c r="G3530" s="3" t="s">
        <v>28</v>
      </c>
      <c r="H3530" s="2" t="s">
        <v>65</v>
      </c>
      <c r="I3530" s="2" t="s">
        <v>8673</v>
      </c>
      <c r="J3530" s="3" t="str">
        <f>HYPERLINK("https://www.boe.es/gazeta/dias/1819/02/02/pdfs/GMD-1819-14.pdf#page=8","Abrir facsímil")</f>
        <v>Abrir facsímil</v>
      </c>
      <c r="K3530" s="3" t="s">
        <v>67</v>
      </c>
    </row>
    <row r="3531" spans="1:11" ht="42" customHeight="1">
      <c r="A3531" s="2" t="s">
        <v>8674</v>
      </c>
      <c r="B3531" s="2" t="s">
        <v>8675</v>
      </c>
      <c r="C3531" s="2" t="s">
        <v>59</v>
      </c>
      <c r="D3531" s="2" t="s">
        <v>18</v>
      </c>
      <c r="E3531" s="5">
        <v>-29493</v>
      </c>
      <c r="F3531" s="3" t="s">
        <v>404</v>
      </c>
      <c r="G3531" s="3" t="s">
        <v>55</v>
      </c>
      <c r="H3531" s="2" t="s">
        <v>65</v>
      </c>
      <c r="I3531" s="2" t="s">
        <v>8676</v>
      </c>
      <c r="J3531" s="3" t="str">
        <f>HYPERLINK("https://www.boe.es/gazeta/dias/1819/04/01/pdfs/GMD-1819-39.pdf#page=7","Abrir facsímil")</f>
        <v>Abrir facsímil</v>
      </c>
      <c r="K3531" s="3" t="s">
        <v>67</v>
      </c>
    </row>
    <row r="3532" spans="1:11" ht="42" customHeight="1">
      <c r="A3532" s="2" t="s">
        <v>8677</v>
      </c>
      <c r="B3532" s="2" t="s">
        <v>8677</v>
      </c>
      <c r="C3532" s="2" t="s">
        <v>80</v>
      </c>
      <c r="D3532" s="2" t="s">
        <v>81</v>
      </c>
      <c r="E3532" s="5">
        <v>-29395</v>
      </c>
      <c r="F3532" s="3" t="s">
        <v>684</v>
      </c>
      <c r="G3532" s="3" t="s">
        <v>259</v>
      </c>
      <c r="H3532" s="2" t="s">
        <v>65</v>
      </c>
      <c r="I3532" s="2" t="s">
        <v>8678</v>
      </c>
      <c r="J3532" s="3" t="str">
        <f>HYPERLINK("https://www.boe.es/gazeta/dias/1819/07/08/pdfs/GMD-1819-82.pdf#page=2","Abrir facsímil")</f>
        <v>Abrir facsímil</v>
      </c>
      <c r="K3532" s="3" t="s">
        <v>67</v>
      </c>
    </row>
    <row r="3533" spans="1:11" ht="42" customHeight="1">
      <c r="A3533" s="2" t="s">
        <v>8679</v>
      </c>
      <c r="B3533" s="2" t="s">
        <v>8680</v>
      </c>
      <c r="C3533" s="2" t="s">
        <v>136</v>
      </c>
      <c r="D3533" s="2" t="s">
        <v>18</v>
      </c>
      <c r="E3533" s="5">
        <v>-29262</v>
      </c>
      <c r="F3533" s="3" t="s">
        <v>1428</v>
      </c>
      <c r="G3533" s="3" t="s">
        <v>33</v>
      </c>
      <c r="H3533" s="2" t="s">
        <v>65</v>
      </c>
      <c r="I3533" s="2" t="s">
        <v>8681</v>
      </c>
      <c r="J3533" s="3" t="str">
        <f>HYPERLINK("https://www.boe.es/gazeta/dias/1819/11/18/pdfs/GMD-1819-142.pdf#page=6","Abrir facsímil")</f>
        <v>Abrir facsímil</v>
      </c>
      <c r="K3533" s="3" t="s">
        <v>67</v>
      </c>
    </row>
    <row r="3534" spans="1:11" ht="42" customHeight="1">
      <c r="A3534" s="2" t="s">
        <v>8682</v>
      </c>
      <c r="B3534" s="2" t="s">
        <v>8683</v>
      </c>
      <c r="C3534" s="2" t="s">
        <v>59</v>
      </c>
      <c r="D3534" s="2" t="s">
        <v>18</v>
      </c>
      <c r="E3534" s="5">
        <v>-29458</v>
      </c>
      <c r="F3534" s="3" t="s">
        <v>766</v>
      </c>
      <c r="G3534" s="3" t="s">
        <v>38</v>
      </c>
      <c r="H3534" s="2" t="s">
        <v>65</v>
      </c>
      <c r="I3534" s="2" t="s">
        <v>8684</v>
      </c>
      <c r="J3534" s="3" t="str">
        <f>HYPERLINK("https://www.boe.es/gazeta/dias/1819/05/06/pdfs/GMD-1819-54.pdf#page=5","Abrir facsímil")</f>
        <v>Abrir facsímil</v>
      </c>
      <c r="K3534" s="3" t="s">
        <v>67</v>
      </c>
    </row>
    <row r="3535" spans="1:11" ht="42" customHeight="1">
      <c r="A3535" s="2" t="s">
        <v>8685</v>
      </c>
      <c r="B3535" s="2" t="s">
        <v>8686</v>
      </c>
      <c r="C3535" s="2" t="s">
        <v>80</v>
      </c>
      <c r="D3535" s="2" t="s">
        <v>81</v>
      </c>
      <c r="E3535" s="5">
        <v>-29255</v>
      </c>
      <c r="F3535" s="3" t="s">
        <v>357</v>
      </c>
      <c r="G3535" s="3" t="s">
        <v>358</v>
      </c>
      <c r="H3535" s="2" t="s">
        <v>65</v>
      </c>
      <c r="I3535" s="2" t="s">
        <v>8687</v>
      </c>
      <c r="J3535" s="3" t="str">
        <f>HYPERLINK("https://www.boe.es/gazeta/dias/1819/11/25/pdfs/GMD-1819-145.pdf#page=6","Abrir facsímil")</f>
        <v>Abrir facsímil</v>
      </c>
      <c r="K3535" s="3" t="s">
        <v>67</v>
      </c>
    </row>
    <row r="3536" spans="1:11" ht="42" customHeight="1">
      <c r="A3536" s="2" t="s">
        <v>8685</v>
      </c>
      <c r="B3536" s="2" t="s">
        <v>8686</v>
      </c>
      <c r="C3536" s="2" t="s">
        <v>63</v>
      </c>
      <c r="D3536" s="2" t="s">
        <v>43</v>
      </c>
      <c r="E3536" s="5">
        <v>-29246</v>
      </c>
      <c r="F3536" s="3" t="s">
        <v>494</v>
      </c>
      <c r="G3536" s="3" t="s">
        <v>5787</v>
      </c>
      <c r="H3536" s="2" t="s">
        <v>65</v>
      </c>
      <c r="I3536" s="2" t="s">
        <v>8688</v>
      </c>
      <c r="J3536" s="3" t="str">
        <f>HYPERLINK("https://www.boe.es/gazeta/dias/1819/12/04/pdfs/GMD-1819-149.pdf#page=5","Abrir facsímil")</f>
        <v>Abrir facsímil</v>
      </c>
      <c r="K3536" s="3" t="s">
        <v>67</v>
      </c>
    </row>
    <row r="3537" spans="1:11" ht="42" customHeight="1">
      <c r="A3537" s="2" t="s">
        <v>8685</v>
      </c>
      <c r="B3537" s="2" t="s">
        <v>8686</v>
      </c>
      <c r="C3537" s="2" t="s">
        <v>26</v>
      </c>
      <c r="D3537" s="2" t="s">
        <v>18</v>
      </c>
      <c r="E3537" s="5">
        <v>-29241</v>
      </c>
      <c r="F3537" s="3" t="s">
        <v>1382</v>
      </c>
      <c r="G3537" s="3" t="s">
        <v>3247</v>
      </c>
      <c r="H3537" s="2" t="s">
        <v>65</v>
      </c>
      <c r="I3537" s="2" t="s">
        <v>8689</v>
      </c>
      <c r="J3537" s="3" t="str">
        <f>HYPERLINK("https://www.boe.es/gazeta/dias/1819/12/09/pdfs/GMD-1819-151.pdf#page=8","Abrir facsímil")</f>
        <v>Abrir facsímil</v>
      </c>
      <c r="K3537" s="3" t="s">
        <v>67</v>
      </c>
    </row>
    <row r="3538" spans="1:11" ht="42" customHeight="1">
      <c r="A3538" s="2" t="s">
        <v>8685</v>
      </c>
      <c r="B3538" s="2" t="s">
        <v>8686</v>
      </c>
      <c r="C3538" s="2" t="s">
        <v>59</v>
      </c>
      <c r="D3538" s="2" t="s">
        <v>18</v>
      </c>
      <c r="E3538" s="5">
        <v>-29236</v>
      </c>
      <c r="F3538" s="3" t="s">
        <v>379</v>
      </c>
      <c r="G3538" s="3" t="s">
        <v>55</v>
      </c>
      <c r="H3538" s="2" t="s">
        <v>65</v>
      </c>
      <c r="I3538" s="2" t="s">
        <v>8690</v>
      </c>
      <c r="J3538" s="3" t="str">
        <f>HYPERLINK("https://www.boe.es/gazeta/dias/1819/12/14/pdfs/GMD-1819-153.pdf#page=7","Abrir facsímil")</f>
        <v>Abrir facsímil</v>
      </c>
      <c r="K3538" s="3" t="s">
        <v>67</v>
      </c>
    </row>
    <row r="3539" spans="1:11" ht="42" customHeight="1">
      <c r="A3539" s="2" t="s">
        <v>8691</v>
      </c>
      <c r="B3539" s="2" t="s">
        <v>8692</v>
      </c>
      <c r="C3539" s="2" t="s">
        <v>26</v>
      </c>
      <c r="D3539" s="2" t="s">
        <v>18</v>
      </c>
      <c r="E3539" s="5">
        <v>-29243</v>
      </c>
      <c r="F3539" s="3" t="s">
        <v>2099</v>
      </c>
      <c r="G3539" s="3" t="s">
        <v>4722</v>
      </c>
      <c r="H3539" s="2" t="s">
        <v>65</v>
      </c>
      <c r="I3539" s="2" t="s">
        <v>8693</v>
      </c>
      <c r="J3539" s="3" t="str">
        <f>HYPERLINK("https://www.boe.es/gazeta/dias/1819/12/07/pdfs/GMD-1819-150.pdf#page=5","Abrir facsímil")</f>
        <v>Abrir facsímil</v>
      </c>
      <c r="K3539" s="3" t="s">
        <v>67</v>
      </c>
    </row>
    <row r="3540" spans="1:11" ht="42" customHeight="1">
      <c r="A3540" s="2" t="s">
        <v>8694</v>
      </c>
      <c r="B3540" s="2" t="s">
        <v>8695</v>
      </c>
      <c r="C3540" s="2" t="s">
        <v>17</v>
      </c>
      <c r="D3540" s="2" t="s">
        <v>18</v>
      </c>
      <c r="E3540" s="5">
        <v>-29274</v>
      </c>
      <c r="F3540" s="3" t="s">
        <v>247</v>
      </c>
      <c r="G3540" s="3" t="s">
        <v>55</v>
      </c>
      <c r="H3540" s="2" t="s">
        <v>65</v>
      </c>
      <c r="I3540" s="2" t="s">
        <v>8696</v>
      </c>
      <c r="J3540" s="3" t="str">
        <f>HYPERLINK("https://www.boe.es/gazeta/dias/1819/11/06/pdfs/GMD-1819-137.pdf#page=7","Abrir facsímil")</f>
        <v>Abrir facsímil</v>
      </c>
      <c r="K3540" s="3" t="s">
        <v>67</v>
      </c>
    </row>
    <row r="3541" spans="1:11" ht="42" customHeight="1">
      <c r="A3541" s="2" t="s">
        <v>8697</v>
      </c>
      <c r="B3541" s="2" t="s">
        <v>8698</v>
      </c>
      <c r="C3541" s="2" t="s">
        <v>215</v>
      </c>
      <c r="D3541" s="2" t="s">
        <v>18</v>
      </c>
      <c r="E3541" s="5">
        <v>-29281</v>
      </c>
      <c r="F3541" s="3" t="s">
        <v>19</v>
      </c>
      <c r="G3541" s="3" t="s">
        <v>138</v>
      </c>
      <c r="H3541" s="2" t="s">
        <v>65</v>
      </c>
      <c r="I3541" s="2" t="s">
        <v>8699</v>
      </c>
      <c r="J3541" s="3" t="str">
        <f>HYPERLINK("https://www.boe.es/gazeta/dias/1819/10/30/pdfs/GMD-1819-134.pdf#page=12","Abrir facsímil")</f>
        <v>Abrir facsímil</v>
      </c>
      <c r="K3541" s="3" t="s">
        <v>67</v>
      </c>
    </row>
    <row r="3542" spans="1:11" ht="42" customHeight="1">
      <c r="A3542" s="2" t="s">
        <v>8700</v>
      </c>
      <c r="B3542" s="2" t="s">
        <v>8701</v>
      </c>
      <c r="C3542" s="2" t="s">
        <v>80</v>
      </c>
      <c r="D3542" s="2" t="s">
        <v>81</v>
      </c>
      <c r="E3542" s="5">
        <v>-29565</v>
      </c>
      <c r="F3542" s="3" t="s">
        <v>293</v>
      </c>
      <c r="G3542" s="3" t="s">
        <v>259</v>
      </c>
      <c r="H3542" s="2" t="s">
        <v>65</v>
      </c>
      <c r="I3542" s="2" t="s">
        <v>8702</v>
      </c>
      <c r="J3542" s="3" t="str">
        <f>HYPERLINK("https://www.boe.es/gazeta/dias/1819/01/19/pdfs/GMD-1819-8.pdf#page=2","Abrir facsímil")</f>
        <v>Abrir facsímil</v>
      </c>
      <c r="K3542" s="3" t="s">
        <v>67</v>
      </c>
    </row>
    <row r="3543" spans="1:11" ht="42" customHeight="1">
      <c r="A3543" s="2" t="s">
        <v>8703</v>
      </c>
      <c r="B3543" s="2" t="s">
        <v>8704</v>
      </c>
      <c r="C3543" s="2" t="s">
        <v>63</v>
      </c>
      <c r="D3543" s="2" t="s">
        <v>43</v>
      </c>
      <c r="E3543" s="5">
        <v>-29285</v>
      </c>
      <c r="F3543" s="3" t="s">
        <v>578</v>
      </c>
      <c r="G3543" s="3" t="s">
        <v>102</v>
      </c>
      <c r="H3543" s="2" t="s">
        <v>65</v>
      </c>
      <c r="I3543" s="2" t="s">
        <v>8705</v>
      </c>
      <c r="J3543" s="3" t="str">
        <f>HYPERLINK("https://www.boe.es/gazeta/dias/1819/10/26/pdfs/GMD-1819-132.pdf#page=3","Abrir facsímil")</f>
        <v>Abrir facsímil</v>
      </c>
      <c r="K3543" s="3" t="s">
        <v>67</v>
      </c>
    </row>
    <row r="3544" spans="1:11" ht="42" customHeight="1">
      <c r="A3544" s="2" t="s">
        <v>8706</v>
      </c>
      <c r="B3544" s="2" t="s">
        <v>8707</v>
      </c>
      <c r="C3544" s="2" t="s">
        <v>80</v>
      </c>
      <c r="D3544" s="2" t="s">
        <v>81</v>
      </c>
      <c r="E3544" s="5">
        <v>-29407</v>
      </c>
      <c r="F3544" s="3" t="s">
        <v>64</v>
      </c>
      <c r="G3544" s="3" t="s">
        <v>55</v>
      </c>
      <c r="H3544" s="2" t="s">
        <v>65</v>
      </c>
      <c r="I3544" s="2" t="s">
        <v>8708</v>
      </c>
      <c r="J3544" s="3" t="str">
        <f>HYPERLINK("https://www.boe.es/gazeta/dias/1819/06/26/pdfs/GMD-1819-77.pdf#page=7","Abrir facsímil")</f>
        <v>Abrir facsímil</v>
      </c>
      <c r="K3544" s="3" t="s">
        <v>67</v>
      </c>
    </row>
    <row r="3545" spans="1:11" ht="42" customHeight="1">
      <c r="A3545" s="2" t="s">
        <v>8709</v>
      </c>
      <c r="B3545" s="2" t="s">
        <v>8709</v>
      </c>
      <c r="C3545" s="2" t="s">
        <v>80</v>
      </c>
      <c r="D3545" s="2" t="s">
        <v>81</v>
      </c>
      <c r="E3545" s="5">
        <v>-29267</v>
      </c>
      <c r="F3545" s="3" t="s">
        <v>370</v>
      </c>
      <c r="G3545" s="3" t="s">
        <v>456</v>
      </c>
      <c r="H3545" s="2" t="s">
        <v>65</v>
      </c>
      <c r="I3545" s="2" t="s">
        <v>8710</v>
      </c>
      <c r="J3545" s="3" t="str">
        <f>HYPERLINK("https://www.boe.es/gazeta/dias/1819/11/13/pdfs/GMD-1819-140.pdf#page=9","Abrir facsímil")</f>
        <v>Abrir facsímil</v>
      </c>
      <c r="K3545" s="3" t="s">
        <v>67</v>
      </c>
    </row>
    <row r="3546" spans="1:11" ht="42" customHeight="1">
      <c r="A3546" s="2" t="s">
        <v>8711</v>
      </c>
      <c r="B3546" s="2" t="s">
        <v>8712</v>
      </c>
      <c r="C3546" s="2" t="s">
        <v>80</v>
      </c>
      <c r="D3546" s="2" t="s">
        <v>81</v>
      </c>
      <c r="E3546" s="5">
        <v>-29369</v>
      </c>
      <c r="F3546" s="3" t="s">
        <v>231</v>
      </c>
      <c r="G3546" s="3" t="s">
        <v>232</v>
      </c>
      <c r="H3546" s="2" t="s">
        <v>65</v>
      </c>
      <c r="I3546" s="2" t="s">
        <v>8713</v>
      </c>
      <c r="J3546" s="3" t="str">
        <f>HYPERLINK("https://www.boe.es/gazeta/dias/1819/08/03/pdfs/GMD-1819-93.pdf#page=5","Abrir facsímil")</f>
        <v>Abrir facsímil</v>
      </c>
      <c r="K3546" s="3" t="s">
        <v>67</v>
      </c>
    </row>
    <row r="3547" spans="1:11" ht="42" customHeight="1">
      <c r="A3547" s="2" t="s">
        <v>8714</v>
      </c>
      <c r="B3547" s="2" t="s">
        <v>8714</v>
      </c>
      <c r="C3547" s="2" t="s">
        <v>80</v>
      </c>
      <c r="D3547" s="2" t="s">
        <v>81</v>
      </c>
      <c r="E3547" s="5">
        <v>-29309</v>
      </c>
      <c r="F3547" s="3" t="s">
        <v>476</v>
      </c>
      <c r="G3547" s="3" t="s">
        <v>296</v>
      </c>
      <c r="H3547" s="2" t="s">
        <v>65</v>
      </c>
      <c r="I3547" s="2" t="s">
        <v>8715</v>
      </c>
      <c r="J3547" s="3" t="str">
        <f>HYPERLINK("https://www.boe.es/gazeta/dias/1819/10/02/pdfs/GMD-1819-121.pdf#page=4","Abrir facsímil")</f>
        <v>Abrir facsímil</v>
      </c>
      <c r="K3547" s="3" t="s">
        <v>67</v>
      </c>
    </row>
    <row r="3548" spans="1:11" ht="42" customHeight="1">
      <c r="A3548" s="2" t="s">
        <v>8716</v>
      </c>
      <c r="B3548" s="2" t="s">
        <v>8717</v>
      </c>
      <c r="C3548" s="2" t="s">
        <v>80</v>
      </c>
      <c r="D3548" s="2" t="s">
        <v>81</v>
      </c>
      <c r="E3548" s="5">
        <v>-29232</v>
      </c>
      <c r="F3548" s="3" t="s">
        <v>752</v>
      </c>
      <c r="G3548" s="3" t="s">
        <v>839</v>
      </c>
      <c r="H3548" s="2" t="s">
        <v>21</v>
      </c>
      <c r="I3548" s="2" t="s">
        <v>8718</v>
      </c>
      <c r="J3548" s="3" t="str">
        <f>HYPERLINK("https://www.boe.es/gazeta/dias/1819/12/18/pdfs/GMD-1819-155.pdf#page=8","Abrir facsímil")</f>
        <v>Abrir facsímil</v>
      </c>
      <c r="K3548" s="3" t="s">
        <v>23</v>
      </c>
    </row>
    <row r="3549" spans="1:11" ht="42" customHeight="1">
      <c r="A3549" s="2" t="s">
        <v>8719</v>
      </c>
      <c r="B3549" s="2" t="s">
        <v>8719</v>
      </c>
      <c r="C3549" s="2" t="s">
        <v>63</v>
      </c>
      <c r="D3549" s="2" t="s">
        <v>43</v>
      </c>
      <c r="E3549" s="5">
        <v>-29540</v>
      </c>
      <c r="F3549" s="3" t="s">
        <v>154</v>
      </c>
      <c r="G3549" s="3" t="s">
        <v>55</v>
      </c>
      <c r="H3549" s="2" t="s">
        <v>65</v>
      </c>
      <c r="I3549" s="2" t="s">
        <v>8720</v>
      </c>
      <c r="J3549" s="3" t="str">
        <f>HYPERLINK("https://www.boe.es/gazeta/dias/1819/02/13/pdfs/GMD-1819-19.pdf#page=7","Abrir facsímil")</f>
        <v>Abrir facsímil</v>
      </c>
      <c r="K3549" s="3" t="s">
        <v>67</v>
      </c>
    </row>
    <row r="3550" spans="1:11" ht="42" customHeight="1">
      <c r="A3550" s="2" t="s">
        <v>8719</v>
      </c>
      <c r="B3550" s="2" t="s">
        <v>8719</v>
      </c>
      <c r="C3550" s="2" t="s">
        <v>80</v>
      </c>
      <c r="D3550" s="2" t="s">
        <v>81</v>
      </c>
      <c r="E3550" s="5">
        <v>-29264</v>
      </c>
      <c r="F3550" s="3" t="s">
        <v>37</v>
      </c>
      <c r="G3550" s="3" t="s">
        <v>20</v>
      </c>
      <c r="H3550" s="2" t="s">
        <v>65</v>
      </c>
      <c r="I3550" s="2" t="s">
        <v>8721</v>
      </c>
      <c r="J3550" s="3" t="str">
        <f>HYPERLINK("https://www.boe.es/gazeta/dias/1819/11/16/pdfs/GMD-1819-141.pdf#page=10","Abrir facsímil")</f>
        <v>Abrir facsímil</v>
      </c>
      <c r="K3550" s="3" t="s">
        <v>67</v>
      </c>
    </row>
    <row r="3551" spans="1:11" ht="42" customHeight="1">
      <c r="A3551" s="2" t="s">
        <v>8719</v>
      </c>
      <c r="B3551" s="2" t="s">
        <v>8719</v>
      </c>
      <c r="C3551" s="2" t="s">
        <v>80</v>
      </c>
      <c r="D3551" s="2" t="s">
        <v>81</v>
      </c>
      <c r="E3551" s="5">
        <v>-29264</v>
      </c>
      <c r="F3551" s="3" t="s">
        <v>37</v>
      </c>
      <c r="G3551" s="3" t="s">
        <v>456</v>
      </c>
      <c r="H3551" s="2" t="s">
        <v>65</v>
      </c>
      <c r="I3551" s="2" t="s">
        <v>8722</v>
      </c>
      <c r="J3551" s="3" t="str">
        <f>HYPERLINK("https://www.boe.es/gazeta/dias/1819/11/16/pdfs/GMD-1819-141.pdf#page=9","Abrir facsímil")</f>
        <v>Abrir facsímil</v>
      </c>
      <c r="K3551" s="3" t="s">
        <v>67</v>
      </c>
    </row>
    <row r="3552" spans="1:11" ht="42" customHeight="1">
      <c r="A3552" s="2" t="s">
        <v>8723</v>
      </c>
      <c r="B3552" s="2" t="s">
        <v>8724</v>
      </c>
      <c r="C3552" s="2" t="s">
        <v>136</v>
      </c>
      <c r="D3552" s="2" t="s">
        <v>18</v>
      </c>
      <c r="E3552" s="5">
        <v>-29502</v>
      </c>
      <c r="F3552" s="3" t="s">
        <v>86</v>
      </c>
      <c r="G3552" s="3" t="s">
        <v>28</v>
      </c>
      <c r="H3552" s="2" t="s">
        <v>65</v>
      </c>
      <c r="I3552" s="2" t="s">
        <v>8725</v>
      </c>
      <c r="J3552" s="3" t="str">
        <f>HYPERLINK("https://www.boe.es/gazeta/dias/1819/03/23/pdfs/GMD-1819-35.pdf#page=8","Abrir facsímil")</f>
        <v>Abrir facsímil</v>
      </c>
      <c r="K3552" s="3" t="s">
        <v>67</v>
      </c>
    </row>
    <row r="3553" spans="1:11" ht="42" customHeight="1">
      <c r="A3553" s="2" t="s">
        <v>8723</v>
      </c>
      <c r="B3553" s="2" t="s">
        <v>8724</v>
      </c>
      <c r="C3553" s="2" t="s">
        <v>63</v>
      </c>
      <c r="D3553" s="2" t="s">
        <v>43</v>
      </c>
      <c r="E3553" s="5">
        <v>-29484</v>
      </c>
      <c r="F3553" s="3" t="s">
        <v>295</v>
      </c>
      <c r="G3553" s="3" t="s">
        <v>28</v>
      </c>
      <c r="H3553" s="2" t="s">
        <v>65</v>
      </c>
      <c r="I3553" s="2" t="s">
        <v>8726</v>
      </c>
      <c r="J3553" s="3" t="str">
        <f>HYPERLINK("https://www.boe.es/gazeta/dias/1819/04/10/pdfs/GMD-1819-43.pdf#page=8","Abrir facsímil")</f>
        <v>Abrir facsímil</v>
      </c>
      <c r="K3553" s="3" t="s">
        <v>67</v>
      </c>
    </row>
    <row r="3554" spans="1:11" ht="42" customHeight="1">
      <c r="A3554" s="2" t="s">
        <v>8723</v>
      </c>
      <c r="B3554" s="2" t="s">
        <v>8724</v>
      </c>
      <c r="C3554" s="2" t="s">
        <v>63</v>
      </c>
      <c r="D3554" s="2" t="s">
        <v>43</v>
      </c>
      <c r="E3554" s="5">
        <v>-29481</v>
      </c>
      <c r="F3554" s="3" t="s">
        <v>1504</v>
      </c>
      <c r="G3554" s="3" t="s">
        <v>28</v>
      </c>
      <c r="H3554" s="2" t="s">
        <v>65</v>
      </c>
      <c r="I3554" s="2" t="s">
        <v>8727</v>
      </c>
      <c r="J3554" s="3" t="str">
        <f>HYPERLINK("https://www.boe.es/gazeta/dias/1819/04/13/pdfs/GMD-1819-44.pdf#page=8","Abrir facsímil")</f>
        <v>Abrir facsímil</v>
      </c>
      <c r="K3554" s="3" t="s">
        <v>67</v>
      </c>
    </row>
    <row r="3555" spans="1:11" ht="42" customHeight="1">
      <c r="A3555" s="2" t="s">
        <v>8723</v>
      </c>
      <c r="B3555" s="2" t="s">
        <v>8724</v>
      </c>
      <c r="C3555" s="2" t="s">
        <v>63</v>
      </c>
      <c r="D3555" s="2" t="s">
        <v>43</v>
      </c>
      <c r="E3555" s="5">
        <v>-29470</v>
      </c>
      <c r="F3555" s="3" t="s">
        <v>1188</v>
      </c>
      <c r="G3555" s="3" t="s">
        <v>28</v>
      </c>
      <c r="H3555" s="2" t="s">
        <v>65</v>
      </c>
      <c r="I3555" s="2" t="s">
        <v>8728</v>
      </c>
      <c r="J3555" s="3" t="str">
        <f>HYPERLINK("https://www.boe.es/gazeta/dias/1819/04/24/pdfs/GMD-1819-49.pdf#page=8","Abrir facsímil")</f>
        <v>Abrir facsímil</v>
      </c>
      <c r="K3555" s="3" t="s">
        <v>67</v>
      </c>
    </row>
    <row r="3556" spans="1:11" ht="42" customHeight="1">
      <c r="A3556" s="2" t="s">
        <v>8723</v>
      </c>
      <c r="B3556" s="2" t="s">
        <v>8724</v>
      </c>
      <c r="C3556" s="2" t="s">
        <v>63</v>
      </c>
      <c r="D3556" s="2" t="s">
        <v>43</v>
      </c>
      <c r="E3556" s="5">
        <v>-29432</v>
      </c>
      <c r="F3556" s="3" t="s">
        <v>1967</v>
      </c>
      <c r="G3556" s="3" t="s">
        <v>28</v>
      </c>
      <c r="H3556" s="2" t="s">
        <v>65</v>
      </c>
      <c r="I3556" s="2" t="s">
        <v>8729</v>
      </c>
      <c r="J3556" s="3" t="str">
        <f>HYPERLINK("https://www.boe.es/gazeta/dias/1819/06/01/pdfs/GMD-1819-65.pdf#page=8","Abrir facsímil")</f>
        <v>Abrir facsímil</v>
      </c>
      <c r="K3556" s="3" t="s">
        <v>67</v>
      </c>
    </row>
    <row r="3557" spans="1:11" ht="42" customHeight="1">
      <c r="A3557" s="2" t="s">
        <v>8723</v>
      </c>
      <c r="B3557" s="2" t="s">
        <v>8724</v>
      </c>
      <c r="C3557" s="2" t="s">
        <v>63</v>
      </c>
      <c r="D3557" s="2" t="s">
        <v>43</v>
      </c>
      <c r="E3557" s="5">
        <v>-29418</v>
      </c>
      <c r="F3557" s="3" t="s">
        <v>447</v>
      </c>
      <c r="G3557" s="3" t="s">
        <v>28</v>
      </c>
      <c r="H3557" s="2" t="s">
        <v>65</v>
      </c>
      <c r="I3557" s="2" t="s">
        <v>8730</v>
      </c>
      <c r="J3557" s="3" t="str">
        <f>HYPERLINK("https://www.boe.es/gazeta/dias/1819/06/15/pdfs/GMD-1819-72.pdf#page=8","Abrir facsímil")</f>
        <v>Abrir facsímil</v>
      </c>
      <c r="K3557" s="3" t="s">
        <v>67</v>
      </c>
    </row>
    <row r="3558" spans="1:11" ht="42" customHeight="1">
      <c r="A3558" s="2" t="s">
        <v>8723</v>
      </c>
      <c r="B3558" s="2" t="s">
        <v>8724</v>
      </c>
      <c r="C3558" s="2" t="s">
        <v>63</v>
      </c>
      <c r="D3558" s="2" t="s">
        <v>43</v>
      </c>
      <c r="E3558" s="5">
        <v>-29395</v>
      </c>
      <c r="F3558" s="3" t="s">
        <v>684</v>
      </c>
      <c r="G3558" s="3" t="s">
        <v>8731</v>
      </c>
      <c r="H3558" s="2" t="s">
        <v>65</v>
      </c>
      <c r="I3558" s="2" t="s">
        <v>8732</v>
      </c>
      <c r="J3558" s="3" t="str">
        <f>HYPERLINK("https://www.boe.es/gazeta/dias/1819/07/08/pdfs/GMD-1819-82.pdf#page=7","Abrir facsímil")</f>
        <v>Abrir facsímil</v>
      </c>
      <c r="K3558" s="3" t="s">
        <v>67</v>
      </c>
    </row>
    <row r="3559" spans="1:11" ht="42" customHeight="1">
      <c r="A3559" s="2" t="s">
        <v>8733</v>
      </c>
      <c r="B3559" s="2" t="s">
        <v>8734</v>
      </c>
      <c r="C3559" s="2" t="s">
        <v>63</v>
      </c>
      <c r="D3559" s="2" t="s">
        <v>43</v>
      </c>
      <c r="E3559" s="5">
        <v>-29353</v>
      </c>
      <c r="F3559" s="3" t="s">
        <v>867</v>
      </c>
      <c r="G3559" s="3" t="s">
        <v>28</v>
      </c>
      <c r="H3559" s="2" t="s">
        <v>65</v>
      </c>
      <c r="I3559" s="2" t="s">
        <v>8735</v>
      </c>
      <c r="J3559" s="3" t="str">
        <f>HYPERLINK("https://www.boe.es/gazeta/dias/1819/08/19/pdfs/GMD-1819-100.pdf#page=8","Abrir facsímil")</f>
        <v>Abrir facsímil</v>
      </c>
      <c r="K3559" s="3" t="s">
        <v>67</v>
      </c>
    </row>
    <row r="3560" spans="1:11" ht="42" customHeight="1">
      <c r="A3560" s="2" t="s">
        <v>8736</v>
      </c>
      <c r="B3560" s="2" t="s">
        <v>8736</v>
      </c>
      <c r="C3560" s="2" t="s">
        <v>80</v>
      </c>
      <c r="D3560" s="2" t="s">
        <v>81</v>
      </c>
      <c r="E3560" s="5">
        <v>-29369</v>
      </c>
      <c r="F3560" s="3" t="s">
        <v>231</v>
      </c>
      <c r="G3560" s="3" t="s">
        <v>33</v>
      </c>
      <c r="H3560" s="2" t="s">
        <v>65</v>
      </c>
      <c r="I3560" s="2" t="s">
        <v>8737</v>
      </c>
      <c r="J3560" s="3" t="str">
        <f>HYPERLINK("https://www.boe.es/gazeta/dias/1819/08/03/pdfs/GMD-1819-93.pdf#page=6","Abrir facsímil")</f>
        <v>Abrir facsímil</v>
      </c>
      <c r="K3560" s="3" t="s">
        <v>67</v>
      </c>
    </row>
    <row r="3561" spans="1:11" ht="42" customHeight="1">
      <c r="A3561" s="2" t="s">
        <v>8736</v>
      </c>
      <c r="B3561" s="2" t="s">
        <v>8736</v>
      </c>
      <c r="C3561" s="2" t="s">
        <v>80</v>
      </c>
      <c r="D3561" s="2" t="s">
        <v>81</v>
      </c>
      <c r="E3561" s="5">
        <v>-29269</v>
      </c>
      <c r="F3561" s="3" t="s">
        <v>565</v>
      </c>
      <c r="G3561" s="3" t="s">
        <v>33</v>
      </c>
      <c r="H3561" s="2" t="s">
        <v>65</v>
      </c>
      <c r="I3561" s="2" t="s">
        <v>8738</v>
      </c>
      <c r="J3561" s="3" t="str">
        <f>HYPERLINK("https://www.boe.es/gazeta/dias/1819/11/11/pdfs/GMD-1819-139.pdf#page=6","Abrir facsímil")</f>
        <v>Abrir facsímil</v>
      </c>
      <c r="K3561" s="3" t="s">
        <v>67</v>
      </c>
    </row>
    <row r="3562" spans="1:11" ht="42" customHeight="1">
      <c r="A3562" s="2" t="s">
        <v>8736</v>
      </c>
      <c r="B3562" s="2" t="s">
        <v>8736</v>
      </c>
      <c r="C3562" s="2" t="s">
        <v>80</v>
      </c>
      <c r="D3562" s="2" t="s">
        <v>81</v>
      </c>
      <c r="E3562" s="5">
        <v>-29260</v>
      </c>
      <c r="F3562" s="3" t="s">
        <v>93</v>
      </c>
      <c r="G3562" s="3" t="s">
        <v>55</v>
      </c>
      <c r="H3562" s="2" t="s">
        <v>65</v>
      </c>
      <c r="I3562" s="2" t="s">
        <v>8739</v>
      </c>
      <c r="J3562" s="3" t="str">
        <f>HYPERLINK("https://www.boe.es/gazeta/dias/1819/11/20/pdfs/GMD-1819-143.pdf#page=7","Abrir facsímil")</f>
        <v>Abrir facsímil</v>
      </c>
      <c r="K3562" s="3" t="s">
        <v>67</v>
      </c>
    </row>
    <row r="3563" spans="1:11" ht="42" customHeight="1">
      <c r="A3563" s="2" t="s">
        <v>8736</v>
      </c>
      <c r="B3563" s="2" t="s">
        <v>8736</v>
      </c>
      <c r="C3563" s="2" t="s">
        <v>80</v>
      </c>
      <c r="D3563" s="2" t="s">
        <v>81</v>
      </c>
      <c r="E3563" s="5">
        <v>-29260</v>
      </c>
      <c r="F3563" s="3" t="s">
        <v>93</v>
      </c>
      <c r="G3563" s="3" t="s">
        <v>456</v>
      </c>
      <c r="H3563" s="2" t="s">
        <v>65</v>
      </c>
      <c r="I3563" s="2" t="s">
        <v>8740</v>
      </c>
      <c r="J3563" s="3" t="str">
        <f>HYPERLINK("https://www.boe.es/gazeta/dias/1819/11/20/pdfs/GMD-1819-143.pdf#page=9","Abrir facsímil")</f>
        <v>Abrir facsímil</v>
      </c>
      <c r="K3563" s="3" t="s">
        <v>67</v>
      </c>
    </row>
    <row r="3564" spans="1:11" ht="42" customHeight="1">
      <c r="A3564" s="2" t="s">
        <v>8736</v>
      </c>
      <c r="B3564" s="2" t="s">
        <v>8736</v>
      </c>
      <c r="C3564" s="2" t="s">
        <v>63</v>
      </c>
      <c r="D3564" s="2" t="s">
        <v>43</v>
      </c>
      <c r="E3564" s="5">
        <v>-29248</v>
      </c>
      <c r="F3564" s="3" t="s">
        <v>395</v>
      </c>
      <c r="G3564" s="3" t="s">
        <v>28</v>
      </c>
      <c r="H3564" s="2" t="s">
        <v>65</v>
      </c>
      <c r="I3564" s="2" t="s">
        <v>8741</v>
      </c>
      <c r="J3564" s="3" t="str">
        <f>HYPERLINK("https://www.boe.es/gazeta/dias/1819/12/02/pdfs/GMD-1819-148.pdf#page=8","Abrir facsímil")</f>
        <v>Abrir facsímil</v>
      </c>
      <c r="K3564" s="3" t="s">
        <v>67</v>
      </c>
    </row>
    <row r="3565" spans="1:11" ht="42" customHeight="1">
      <c r="A3565" s="2" t="s">
        <v>8742</v>
      </c>
      <c r="B3565" s="2" t="s">
        <v>8742</v>
      </c>
      <c r="C3565" s="2" t="s">
        <v>63</v>
      </c>
      <c r="D3565" s="2" t="s">
        <v>43</v>
      </c>
      <c r="E3565" s="5">
        <v>-29561</v>
      </c>
      <c r="F3565" s="3" t="s">
        <v>290</v>
      </c>
      <c r="G3565" s="3" t="s">
        <v>55</v>
      </c>
      <c r="H3565" s="2" t="s">
        <v>65</v>
      </c>
      <c r="I3565" s="2" t="s">
        <v>8743</v>
      </c>
      <c r="J3565" s="3" t="str">
        <f>HYPERLINK("https://www.boe.es/gazeta/dias/1819/01/23/pdfs/GMD-1819-10.pdf#page=7","Abrir facsímil")</f>
        <v>Abrir facsímil</v>
      </c>
      <c r="K3565" s="3" t="s">
        <v>67</v>
      </c>
    </row>
    <row r="3566" spans="1:11" ht="42" customHeight="1">
      <c r="A3566" s="2" t="s">
        <v>8744</v>
      </c>
      <c r="B3566" s="2" t="s">
        <v>8745</v>
      </c>
      <c r="C3566" s="2" t="s">
        <v>59</v>
      </c>
      <c r="D3566" s="2" t="s">
        <v>18</v>
      </c>
      <c r="E3566" s="5">
        <v>-29575</v>
      </c>
      <c r="F3566" s="3" t="s">
        <v>77</v>
      </c>
      <c r="G3566" s="3" t="s">
        <v>55</v>
      </c>
      <c r="H3566" s="2" t="s">
        <v>21</v>
      </c>
      <c r="I3566" s="2" t="s">
        <v>8746</v>
      </c>
      <c r="J3566" s="3" t="str">
        <f>HYPERLINK("https://www.boe.es/gazeta/dias/1819/01/09/pdfs/GMD-1819-4.pdf#page=7","Abrir facsímil")</f>
        <v>Abrir facsímil</v>
      </c>
      <c r="K3566" s="3" t="s">
        <v>23</v>
      </c>
    </row>
    <row r="3567" spans="1:11" ht="42" customHeight="1">
      <c r="A3567" s="2" t="s">
        <v>8747</v>
      </c>
      <c r="B3567" s="2" t="s">
        <v>8748</v>
      </c>
      <c r="C3567" s="2" t="s">
        <v>59</v>
      </c>
      <c r="D3567" s="2" t="s">
        <v>18</v>
      </c>
      <c r="E3567" s="5">
        <v>-29276</v>
      </c>
      <c r="F3567" s="3" t="s">
        <v>54</v>
      </c>
      <c r="G3567" s="3" t="s">
        <v>55</v>
      </c>
      <c r="H3567" s="2" t="s">
        <v>65</v>
      </c>
      <c r="I3567" s="2" t="s">
        <v>8749</v>
      </c>
      <c r="J3567" s="3" t="str">
        <f>HYPERLINK("https://www.boe.es/gazeta/dias/1819/11/04/pdfs/GMD-1819-136.pdf#page=7","Abrir facsímil")</f>
        <v>Abrir facsímil</v>
      </c>
      <c r="K3567" s="3" t="s">
        <v>67</v>
      </c>
    </row>
    <row r="3568" spans="1:11" ht="42" customHeight="1">
      <c r="A3568" s="2" t="s">
        <v>8750</v>
      </c>
      <c r="B3568" s="2" t="s">
        <v>8751</v>
      </c>
      <c r="C3568" s="2" t="s">
        <v>63</v>
      </c>
      <c r="D3568" s="2" t="s">
        <v>43</v>
      </c>
      <c r="E3568" s="5">
        <v>-29271</v>
      </c>
      <c r="F3568" s="3" t="s">
        <v>32</v>
      </c>
      <c r="G3568" s="3" t="s">
        <v>2323</v>
      </c>
      <c r="H3568" s="2" t="s">
        <v>65</v>
      </c>
      <c r="I3568" s="2" t="s">
        <v>8752</v>
      </c>
      <c r="J3568" s="3" t="str">
        <f>HYPERLINK("https://www.boe.es/gazeta/dias/1819/11/09/pdfs/GMD-1819-138.pdf#page=5","Abrir facsímil")</f>
        <v>Abrir facsímil</v>
      </c>
      <c r="K3568" s="3" t="s">
        <v>67</v>
      </c>
    </row>
    <row r="3569" spans="1:11" ht="42" customHeight="1">
      <c r="A3569" s="2" t="s">
        <v>8753</v>
      </c>
      <c r="B3569" s="2" t="s">
        <v>8754</v>
      </c>
      <c r="C3569" s="2" t="s">
        <v>80</v>
      </c>
      <c r="D3569" s="2" t="s">
        <v>81</v>
      </c>
      <c r="E3569" s="5">
        <v>-29264</v>
      </c>
      <c r="F3569" s="3" t="s">
        <v>37</v>
      </c>
      <c r="G3569" s="3" t="s">
        <v>1794</v>
      </c>
      <c r="H3569" s="2" t="s">
        <v>65</v>
      </c>
      <c r="I3569" s="2" t="s">
        <v>8755</v>
      </c>
      <c r="J3569" s="3" t="str">
        <f>HYPERLINK("https://www.boe.es/gazeta/dias/1819/11/16/pdfs/GMD-1819-141.pdf#page=11","Abrir facsímil")</f>
        <v>Abrir facsímil</v>
      </c>
      <c r="K3569" s="3" t="s">
        <v>67</v>
      </c>
    </row>
    <row r="3570" spans="1:11" ht="42" customHeight="1">
      <c r="A3570" s="2" t="s">
        <v>8756</v>
      </c>
      <c r="B3570" s="2" t="s">
        <v>8757</v>
      </c>
      <c r="C3570" s="2" t="s">
        <v>63</v>
      </c>
      <c r="D3570" s="2" t="s">
        <v>43</v>
      </c>
      <c r="E3570" s="5">
        <v>-29281</v>
      </c>
      <c r="F3570" s="3" t="s">
        <v>19</v>
      </c>
      <c r="G3570" s="3" t="s">
        <v>456</v>
      </c>
      <c r="H3570" s="2" t="s">
        <v>21</v>
      </c>
      <c r="I3570" s="2" t="s">
        <v>8758</v>
      </c>
      <c r="J3570" s="3" t="str">
        <f>HYPERLINK("https://www.boe.es/gazeta/dias/1819/10/30/pdfs/GMD-1819-134.pdf#page=9","Abrir facsímil")</f>
        <v>Abrir facsímil</v>
      </c>
      <c r="K3570" s="3" t="s">
        <v>23</v>
      </c>
    </row>
    <row r="3571" spans="1:11" ht="42" customHeight="1">
      <c r="A3571" s="2" t="s">
        <v>8759</v>
      </c>
      <c r="B3571" s="2" t="s">
        <v>8760</v>
      </c>
      <c r="C3571" s="2" t="s">
        <v>59</v>
      </c>
      <c r="D3571" s="2" t="s">
        <v>18</v>
      </c>
      <c r="E3571" s="5">
        <v>-29537</v>
      </c>
      <c r="F3571" s="3" t="s">
        <v>593</v>
      </c>
      <c r="G3571" s="3" t="s">
        <v>28</v>
      </c>
      <c r="H3571" s="2" t="s">
        <v>21</v>
      </c>
      <c r="I3571" s="2" t="s">
        <v>8761</v>
      </c>
      <c r="J3571" s="3" t="str">
        <f>HYPERLINK("https://www.boe.es/gazeta/dias/1819/02/16/pdfs/GMD-1819-20.pdf#page=8","Abrir facsímil")</f>
        <v>Abrir facsímil</v>
      </c>
      <c r="K3571" s="3" t="s">
        <v>23</v>
      </c>
    </row>
    <row r="3572" spans="1:11" ht="42" customHeight="1">
      <c r="A3572" s="2" t="s">
        <v>8762</v>
      </c>
      <c r="B3572" s="2" t="s">
        <v>8763</v>
      </c>
      <c r="C3572" s="2" t="s">
        <v>63</v>
      </c>
      <c r="D3572" s="2" t="s">
        <v>43</v>
      </c>
      <c r="E3572" s="5">
        <v>-29281</v>
      </c>
      <c r="F3572" s="3" t="s">
        <v>19</v>
      </c>
      <c r="G3572" s="3" t="s">
        <v>28</v>
      </c>
      <c r="H3572" s="2" t="s">
        <v>65</v>
      </c>
      <c r="I3572" s="2" t="s">
        <v>8764</v>
      </c>
      <c r="J3572" s="3" t="str">
        <f>HYPERLINK("https://www.boe.es/gazeta/dias/1819/10/30/pdfs/GMD-1819-134.pdf#page=8","Abrir facsímil")</f>
        <v>Abrir facsímil</v>
      </c>
      <c r="K3572" s="3" t="s">
        <v>67</v>
      </c>
    </row>
    <row r="3573" spans="1:11" ht="42" customHeight="1">
      <c r="A3573" s="2" t="s">
        <v>8765</v>
      </c>
      <c r="B3573" s="2" t="s">
        <v>8766</v>
      </c>
      <c r="C3573" s="2" t="s">
        <v>63</v>
      </c>
      <c r="D3573" s="2" t="s">
        <v>43</v>
      </c>
      <c r="E3573" s="5">
        <v>-29309</v>
      </c>
      <c r="F3573" s="3" t="s">
        <v>476</v>
      </c>
      <c r="G3573" s="3" t="s">
        <v>692</v>
      </c>
      <c r="H3573" s="2" t="s">
        <v>65</v>
      </c>
      <c r="I3573" s="2" t="s">
        <v>8767</v>
      </c>
      <c r="J3573" s="3" t="str">
        <f>HYPERLINK("https://www.boe.es/gazeta/dias/1819/10/02/pdfs/GMD-1819-121.pdf#page=8","Abrir facsímil")</f>
        <v>Abrir facsímil</v>
      </c>
      <c r="K3573" s="3" t="s">
        <v>67</v>
      </c>
    </row>
    <row r="3574" spans="1:11" ht="42" customHeight="1">
      <c r="A3574" s="2" t="s">
        <v>8768</v>
      </c>
      <c r="B3574" s="2" t="s">
        <v>8769</v>
      </c>
      <c r="C3574" s="2" t="s">
        <v>59</v>
      </c>
      <c r="D3574" s="2" t="s">
        <v>18</v>
      </c>
      <c r="E3574" s="5">
        <v>-29325</v>
      </c>
      <c r="F3574" s="3" t="s">
        <v>174</v>
      </c>
      <c r="G3574" s="3" t="s">
        <v>33</v>
      </c>
      <c r="H3574" s="2" t="s">
        <v>65</v>
      </c>
      <c r="I3574" s="2" t="s">
        <v>8770</v>
      </c>
      <c r="J3574" s="3" t="str">
        <f>HYPERLINK("https://www.boe.es/gazeta/dias/1819/09/16/pdfs/GMD-1819-113.pdf#page=6","Abrir facsímil")</f>
        <v>Abrir facsímil</v>
      </c>
      <c r="K3574" s="3" t="s">
        <v>67</v>
      </c>
    </row>
    <row r="3575" spans="1:11" ht="42" customHeight="1">
      <c r="A3575" s="2" t="s">
        <v>8771</v>
      </c>
      <c r="B3575" s="2" t="s">
        <v>8772</v>
      </c>
      <c r="C3575" s="2" t="s">
        <v>136</v>
      </c>
      <c r="D3575" s="2" t="s">
        <v>18</v>
      </c>
      <c r="E3575" s="5">
        <v>-29521</v>
      </c>
      <c r="F3575" s="3" t="s">
        <v>1002</v>
      </c>
      <c r="G3575" s="3" t="s">
        <v>55</v>
      </c>
      <c r="H3575" s="2" t="s">
        <v>65</v>
      </c>
      <c r="I3575" s="2" t="s">
        <v>8773</v>
      </c>
      <c r="J3575" s="3" t="str">
        <f>HYPERLINK("https://www.boe.es/gazeta/dias/1819/03/04/pdfs/GMD-1819-27.pdf#page=7","Abrir facsímil")</f>
        <v>Abrir facsímil</v>
      </c>
      <c r="K3575" s="3" t="s">
        <v>67</v>
      </c>
    </row>
    <row r="3576" spans="1:11" ht="42" customHeight="1">
      <c r="A3576" s="2" t="s">
        <v>8774</v>
      </c>
      <c r="B3576" s="2" t="s">
        <v>8775</v>
      </c>
      <c r="C3576" s="2" t="s">
        <v>136</v>
      </c>
      <c r="D3576" s="2" t="s">
        <v>18</v>
      </c>
      <c r="E3576" s="5">
        <v>-29521</v>
      </c>
      <c r="F3576" s="3" t="s">
        <v>1002</v>
      </c>
      <c r="G3576" s="3" t="s">
        <v>55</v>
      </c>
      <c r="H3576" s="2" t="s">
        <v>65</v>
      </c>
      <c r="I3576" s="2" t="s">
        <v>8776</v>
      </c>
      <c r="J3576" s="3" t="str">
        <f>HYPERLINK("https://www.boe.es/gazeta/dias/1819/03/04/pdfs/GMD-1819-27.pdf#page=7","Abrir facsímil")</f>
        <v>Abrir facsímil</v>
      </c>
      <c r="K3576" s="3" t="s">
        <v>67</v>
      </c>
    </row>
    <row r="3577" spans="1:11" ht="42" customHeight="1">
      <c r="A3577" s="2" t="s">
        <v>8777</v>
      </c>
      <c r="B3577" s="2" t="s">
        <v>8778</v>
      </c>
      <c r="C3577" s="2" t="s">
        <v>246</v>
      </c>
      <c r="D3577" s="2" t="s">
        <v>18</v>
      </c>
      <c r="E3577" s="5">
        <v>-29409</v>
      </c>
      <c r="F3577" s="3" t="s">
        <v>106</v>
      </c>
      <c r="G3577" s="3" t="s">
        <v>28</v>
      </c>
      <c r="H3577" s="2" t="s">
        <v>21</v>
      </c>
      <c r="I3577" s="2" t="s">
        <v>8779</v>
      </c>
      <c r="J3577" s="3" t="str">
        <f>HYPERLINK("https://www.boe.es/gazeta/dias/1819/06/24/pdfs/GMD-1819-76.pdf#page=8","Abrir facsímil")</f>
        <v>Abrir facsímil</v>
      </c>
      <c r="K3577" s="3" t="s">
        <v>23</v>
      </c>
    </row>
    <row r="3578" spans="1:11" ht="42" customHeight="1">
      <c r="A3578" s="2" t="s">
        <v>8777</v>
      </c>
      <c r="B3578" s="2" t="s">
        <v>8778</v>
      </c>
      <c r="C3578" s="2" t="s">
        <v>246</v>
      </c>
      <c r="D3578" s="2" t="s">
        <v>18</v>
      </c>
      <c r="E3578" s="5">
        <v>-29390</v>
      </c>
      <c r="F3578" s="3" t="s">
        <v>263</v>
      </c>
      <c r="G3578" s="3" t="s">
        <v>1498</v>
      </c>
      <c r="H3578" s="2" t="s">
        <v>21</v>
      </c>
      <c r="I3578" s="2" t="s">
        <v>8780</v>
      </c>
      <c r="J3578" s="3" t="str">
        <f>HYPERLINK("https://www.boe.es/gazeta/dias/1819/07/13/pdfs/GMD-1819-84.pdf#page=12","Abrir facsímil")</f>
        <v>Abrir facsímil</v>
      </c>
      <c r="K3578" s="3" t="s">
        <v>23</v>
      </c>
    </row>
    <row r="3579" spans="1:11" ht="42" customHeight="1">
      <c r="A3579" s="2" t="s">
        <v>8781</v>
      </c>
      <c r="B3579" s="2" t="s">
        <v>8782</v>
      </c>
      <c r="C3579" s="2" t="s">
        <v>80</v>
      </c>
      <c r="D3579" s="2" t="s">
        <v>81</v>
      </c>
      <c r="E3579" s="5">
        <v>-29514</v>
      </c>
      <c r="F3579" s="3" t="s">
        <v>595</v>
      </c>
      <c r="G3579" s="3" t="s">
        <v>55</v>
      </c>
      <c r="H3579" s="2" t="s">
        <v>65</v>
      </c>
      <c r="I3579" s="2" t="s">
        <v>8783</v>
      </c>
      <c r="J3579" s="3" t="str">
        <f>HYPERLINK("https://www.boe.es/gazeta/dias/1819/03/11/pdfs/GMD-1819-30.pdf#page=7","Abrir facsímil")</f>
        <v>Abrir facsímil</v>
      </c>
      <c r="K3579" s="3" t="s">
        <v>67</v>
      </c>
    </row>
    <row r="3580" spans="1:11" ht="42" customHeight="1">
      <c r="A3580" s="2" t="s">
        <v>8784</v>
      </c>
      <c r="B3580" s="2" t="s">
        <v>8785</v>
      </c>
      <c r="C3580" s="2" t="s">
        <v>246</v>
      </c>
      <c r="D3580" s="2" t="s">
        <v>18</v>
      </c>
      <c r="E3580" s="5">
        <v>-29547</v>
      </c>
      <c r="F3580" s="3" t="s">
        <v>238</v>
      </c>
      <c r="G3580" s="3" t="s">
        <v>1578</v>
      </c>
      <c r="H3580" s="2" t="s">
        <v>65</v>
      </c>
      <c r="I3580" s="2" t="s">
        <v>8786</v>
      </c>
      <c r="J3580" s="3" t="str">
        <f>HYPERLINK("https://www.boe.es/gazeta/dias/1819/02/06/pdfs/GMD-1819-16.pdf#page=8","Abrir facsímil")</f>
        <v>Abrir facsímil</v>
      </c>
      <c r="K3580" s="3" t="s">
        <v>67</v>
      </c>
    </row>
    <row r="3581" spans="1:11" ht="42" customHeight="1">
      <c r="A3581" s="2" t="s">
        <v>8787</v>
      </c>
      <c r="B3581" s="2" t="s">
        <v>8788</v>
      </c>
      <c r="C3581" s="2" t="s">
        <v>80</v>
      </c>
      <c r="D3581" s="2" t="s">
        <v>81</v>
      </c>
      <c r="E3581" s="5">
        <v>-29528</v>
      </c>
      <c r="F3581" s="3" t="s">
        <v>708</v>
      </c>
      <c r="G3581" s="3" t="s">
        <v>3228</v>
      </c>
      <c r="H3581" s="2" t="s">
        <v>21</v>
      </c>
      <c r="I3581" s="2" t="s">
        <v>8789</v>
      </c>
      <c r="J3581" s="3" t="str">
        <f>HYPERLINK("https://www.boe.es/gazeta/dias/1819/02/25/pdfs/GMD-1819-24.pdf#page=6","Abrir facsímil")</f>
        <v>Abrir facsímil</v>
      </c>
      <c r="K3581" s="3" t="s">
        <v>23</v>
      </c>
    </row>
    <row r="3582" spans="1:11" ht="42" customHeight="1">
      <c r="A3582" s="2" t="s">
        <v>8790</v>
      </c>
      <c r="B3582" s="2" t="s">
        <v>8791</v>
      </c>
      <c r="C3582" s="2" t="s">
        <v>17</v>
      </c>
      <c r="D3582" s="2" t="s">
        <v>18</v>
      </c>
      <c r="E3582" s="5">
        <v>-29493</v>
      </c>
      <c r="F3582" s="3" t="s">
        <v>404</v>
      </c>
      <c r="G3582" s="3" t="s">
        <v>296</v>
      </c>
      <c r="H3582" s="2" t="s">
        <v>65</v>
      </c>
      <c r="I3582" s="2" t="s">
        <v>8792</v>
      </c>
      <c r="J3582" s="3" t="str">
        <f>HYPERLINK("https://www.boe.es/gazeta/dias/1819/04/01/pdfs/GMD-1819-39.pdf#page=4","Abrir facsímil")</f>
        <v>Abrir facsímil</v>
      </c>
      <c r="K3582" s="3" t="s">
        <v>67</v>
      </c>
    </row>
    <row r="3583" spans="1:11" ht="42" customHeight="1">
      <c r="A3583" s="2" t="s">
        <v>8790</v>
      </c>
      <c r="B3583" s="2" t="s">
        <v>8791</v>
      </c>
      <c r="C3583" s="2" t="s">
        <v>80</v>
      </c>
      <c r="D3583" s="2" t="s">
        <v>81</v>
      </c>
      <c r="E3583" s="5">
        <v>-29484</v>
      </c>
      <c r="F3583" s="3" t="s">
        <v>295</v>
      </c>
      <c r="G3583" s="3" t="s">
        <v>55</v>
      </c>
      <c r="H3583" s="2" t="s">
        <v>65</v>
      </c>
      <c r="I3583" s="2" t="s">
        <v>8793</v>
      </c>
      <c r="J3583" s="3" t="str">
        <f>HYPERLINK("https://www.boe.es/gazeta/dias/1819/04/10/pdfs/GMD-1819-43.pdf#page=7","Abrir facsímil")</f>
        <v>Abrir facsímil</v>
      </c>
      <c r="K3583" s="3" t="s">
        <v>67</v>
      </c>
    </row>
    <row r="3584" spans="1:11" ht="42" customHeight="1">
      <c r="A3584" s="2" t="s">
        <v>8794</v>
      </c>
      <c r="B3584" s="2" t="s">
        <v>8795</v>
      </c>
      <c r="C3584" s="2" t="s">
        <v>17</v>
      </c>
      <c r="D3584" s="2" t="s">
        <v>18</v>
      </c>
      <c r="E3584" s="5">
        <v>-29271</v>
      </c>
      <c r="F3584" s="3" t="s">
        <v>32</v>
      </c>
      <c r="G3584" s="3" t="s">
        <v>33</v>
      </c>
      <c r="H3584" s="2" t="s">
        <v>65</v>
      </c>
      <c r="I3584" s="2" t="s">
        <v>8796</v>
      </c>
      <c r="J3584" s="3" t="str">
        <f>HYPERLINK("https://www.boe.es/gazeta/dias/1819/11/09/pdfs/GMD-1819-138.pdf#page=6","Abrir facsímil")</f>
        <v>Abrir facsímil</v>
      </c>
      <c r="K3584" s="3" t="s">
        <v>67</v>
      </c>
    </row>
    <row r="3585" spans="1:11" ht="42" customHeight="1">
      <c r="A3585" s="2" t="s">
        <v>8797</v>
      </c>
      <c r="B3585" s="2" t="s">
        <v>8797</v>
      </c>
      <c r="C3585" s="2" t="s">
        <v>63</v>
      </c>
      <c r="D3585" s="2" t="s">
        <v>43</v>
      </c>
      <c r="E3585" s="5">
        <v>-29467</v>
      </c>
      <c r="F3585" s="3" t="s">
        <v>1712</v>
      </c>
      <c r="G3585" s="3" t="s">
        <v>259</v>
      </c>
      <c r="H3585" s="2" t="s">
        <v>65</v>
      </c>
      <c r="I3585" s="2" t="s">
        <v>8798</v>
      </c>
      <c r="J3585" s="3" t="str">
        <f>HYPERLINK("https://www.boe.es/gazeta/dias/1819/04/27/pdfs/GMD-1819-50.pdf#page=2","Abrir facsímil")</f>
        <v>Abrir facsímil</v>
      </c>
      <c r="K3585" s="3" t="s">
        <v>67</v>
      </c>
    </row>
    <row r="3586" spans="1:11" ht="42" customHeight="1">
      <c r="A3586" s="2" t="s">
        <v>8799</v>
      </c>
      <c r="B3586" s="2" t="s">
        <v>8799</v>
      </c>
      <c r="C3586" s="2" t="s">
        <v>17</v>
      </c>
      <c r="D3586" s="2" t="s">
        <v>18</v>
      </c>
      <c r="E3586" s="5">
        <v>-29334</v>
      </c>
      <c r="F3586" s="3" t="s">
        <v>3082</v>
      </c>
      <c r="G3586" s="3" t="s">
        <v>102</v>
      </c>
      <c r="H3586" s="2" t="s">
        <v>65</v>
      </c>
      <c r="I3586" s="2" t="s">
        <v>8800</v>
      </c>
      <c r="J3586" s="3" t="str">
        <f>HYPERLINK("https://www.boe.es/gazeta/dias/1819/09/07/pdfs/GMD-1819-109.pdf#page=3","Abrir facsímil")</f>
        <v>Abrir facsímil</v>
      </c>
      <c r="K3586" s="3" t="s">
        <v>67</v>
      </c>
    </row>
    <row r="3587" spans="1:11" ht="42" customHeight="1">
      <c r="A3587" s="2" t="s">
        <v>8801</v>
      </c>
      <c r="B3587" s="2" t="s">
        <v>8801</v>
      </c>
      <c r="C3587" s="2" t="s">
        <v>63</v>
      </c>
      <c r="D3587" s="2" t="s">
        <v>43</v>
      </c>
      <c r="E3587" s="5">
        <v>-29507</v>
      </c>
      <c r="F3587" s="3" t="s">
        <v>1928</v>
      </c>
      <c r="G3587" s="3" t="s">
        <v>102</v>
      </c>
      <c r="H3587" s="2" t="s">
        <v>65</v>
      </c>
      <c r="I3587" s="2" t="s">
        <v>8802</v>
      </c>
      <c r="J3587" s="3" t="str">
        <f>HYPERLINK("https://www.boe.es/gazeta/dias/1819/03/18/pdfs/GMD-1819-33.pdf#page=3","Abrir facsímil")</f>
        <v>Abrir facsímil</v>
      </c>
      <c r="K3587" s="3" t="s">
        <v>67</v>
      </c>
    </row>
    <row r="3588" spans="1:11" ht="42" customHeight="1">
      <c r="A3588" s="2" t="s">
        <v>8803</v>
      </c>
      <c r="B3588" s="2" t="s">
        <v>8803</v>
      </c>
      <c r="C3588" s="2" t="s">
        <v>63</v>
      </c>
      <c r="D3588" s="2" t="s">
        <v>43</v>
      </c>
      <c r="E3588" s="5">
        <v>-29358</v>
      </c>
      <c r="F3588" s="3" t="s">
        <v>170</v>
      </c>
      <c r="G3588" s="3" t="s">
        <v>239</v>
      </c>
      <c r="H3588" s="2" t="s">
        <v>65</v>
      </c>
      <c r="I3588" s="2" t="s">
        <v>8804</v>
      </c>
      <c r="J3588" s="3" t="str">
        <f>HYPERLINK("https://www.boe.es/gazeta/dias/1819/08/14/pdfs/GMD-1819-98.pdf#page=1","Abrir facsímil")</f>
        <v>Abrir facsímil</v>
      </c>
      <c r="K3588" s="3" t="s">
        <v>67</v>
      </c>
    </row>
    <row r="3589" spans="1:11" ht="42" customHeight="1">
      <c r="A3589" s="2" t="s">
        <v>8803</v>
      </c>
      <c r="B3589" s="2" t="s">
        <v>8803</v>
      </c>
      <c r="C3589" s="2" t="s">
        <v>80</v>
      </c>
      <c r="D3589" s="2" t="s">
        <v>81</v>
      </c>
      <c r="E3589" s="5">
        <v>-29327</v>
      </c>
      <c r="F3589" s="3" t="s">
        <v>620</v>
      </c>
      <c r="G3589" s="3" t="s">
        <v>259</v>
      </c>
      <c r="H3589" s="2" t="s">
        <v>65</v>
      </c>
      <c r="I3589" s="2" t="s">
        <v>8805</v>
      </c>
      <c r="J3589" s="3" t="str">
        <f>HYPERLINK("https://www.boe.es/gazeta/dias/1819/09/14/pdfs/GMD-1819-112.pdf#page=2","Abrir facsímil")</f>
        <v>Abrir facsímil</v>
      </c>
      <c r="K3589" s="3" t="s">
        <v>67</v>
      </c>
    </row>
    <row r="3590" spans="1:11" ht="42" customHeight="1">
      <c r="A3590" s="2" t="s">
        <v>8803</v>
      </c>
      <c r="B3590" s="2" t="s">
        <v>8803</v>
      </c>
      <c r="C3590" s="2" t="s">
        <v>80</v>
      </c>
      <c r="D3590" s="2" t="s">
        <v>81</v>
      </c>
      <c r="E3590" s="5">
        <v>-29306</v>
      </c>
      <c r="F3590" s="3" t="s">
        <v>303</v>
      </c>
      <c r="G3590" s="3" t="s">
        <v>8806</v>
      </c>
      <c r="H3590" s="2" t="s">
        <v>65</v>
      </c>
      <c r="I3590" s="2" t="s">
        <v>8807</v>
      </c>
      <c r="J3590" s="3" t="str">
        <f>HYPERLINK("https://www.boe.es/gazeta/dias/1819/10/05/pdfs/GMD-1819-122.pdf#page=3","Abrir facsímil")</f>
        <v>Abrir facsímil</v>
      </c>
      <c r="K3590" s="3" t="s">
        <v>67</v>
      </c>
    </row>
    <row r="3591" spans="1:11" ht="42" customHeight="1">
      <c r="A3591" s="2" t="s">
        <v>8808</v>
      </c>
      <c r="B3591" s="2" t="s">
        <v>8809</v>
      </c>
      <c r="C3591" s="2" t="s">
        <v>80</v>
      </c>
      <c r="D3591" s="2" t="s">
        <v>81</v>
      </c>
      <c r="E3591" s="5">
        <v>-29409</v>
      </c>
      <c r="F3591" s="3" t="s">
        <v>106</v>
      </c>
      <c r="G3591" s="3" t="s">
        <v>28</v>
      </c>
      <c r="H3591" s="2" t="s">
        <v>65</v>
      </c>
      <c r="I3591" s="2" t="s">
        <v>8810</v>
      </c>
      <c r="J3591" s="3" t="str">
        <f>HYPERLINK("https://www.boe.es/gazeta/dias/1819/06/24/pdfs/GMD-1819-76.pdf#page=8","Abrir facsímil")</f>
        <v>Abrir facsímil</v>
      </c>
      <c r="K3591" s="3" t="s">
        <v>67</v>
      </c>
    </row>
    <row r="3592" spans="1:11" ht="42" customHeight="1">
      <c r="A3592" s="2" t="s">
        <v>8811</v>
      </c>
      <c r="B3592" s="2" t="s">
        <v>8812</v>
      </c>
      <c r="C3592" s="2" t="s">
        <v>59</v>
      </c>
      <c r="D3592" s="2" t="s">
        <v>18</v>
      </c>
      <c r="E3592" s="5">
        <v>-29526</v>
      </c>
      <c r="F3592" s="3" t="s">
        <v>307</v>
      </c>
      <c r="G3592" s="3" t="s">
        <v>28</v>
      </c>
      <c r="H3592" s="2" t="s">
        <v>65</v>
      </c>
      <c r="I3592" s="2" t="s">
        <v>8813</v>
      </c>
      <c r="J3592" s="3" t="str">
        <f>HYPERLINK("https://www.boe.es/gazeta/dias/1819/02/27/pdfs/GMD-1819-25.pdf#page=8","Abrir facsímil")</f>
        <v>Abrir facsímil</v>
      </c>
      <c r="K3592" s="3" t="s">
        <v>67</v>
      </c>
    </row>
    <row r="3593" spans="1:11" ht="42" customHeight="1">
      <c r="A3593" s="2" t="s">
        <v>8814</v>
      </c>
      <c r="B3593" s="2" t="s">
        <v>8815</v>
      </c>
      <c r="C3593" s="2" t="s">
        <v>215</v>
      </c>
      <c r="D3593" s="2" t="s">
        <v>18</v>
      </c>
      <c r="E3593" s="5">
        <v>-29374</v>
      </c>
      <c r="F3593" s="3" t="s">
        <v>204</v>
      </c>
      <c r="G3593" s="3" t="s">
        <v>28</v>
      </c>
      <c r="H3593" s="2" t="s">
        <v>21</v>
      </c>
      <c r="I3593" s="2" t="s">
        <v>8816</v>
      </c>
      <c r="J3593" s="3" t="str">
        <f>HYPERLINK("https://www.boe.es/gazeta/dias/1819/07/29/pdfs/GMD-1819-91.pdf#page=8","Abrir facsímil")</f>
        <v>Abrir facsímil</v>
      </c>
      <c r="K3593" s="3" t="s">
        <v>23</v>
      </c>
    </row>
    <row r="3594" spans="1:11" ht="42" customHeight="1">
      <c r="A3594" s="2" t="s">
        <v>8817</v>
      </c>
      <c r="B3594" s="2" t="s">
        <v>8817</v>
      </c>
      <c r="C3594" s="2" t="s">
        <v>136</v>
      </c>
      <c r="D3594" s="2" t="s">
        <v>18</v>
      </c>
      <c r="E3594" s="5">
        <v>-29533</v>
      </c>
      <c r="F3594" s="3" t="s">
        <v>280</v>
      </c>
      <c r="G3594" s="3" t="s">
        <v>259</v>
      </c>
      <c r="H3594" s="2" t="s">
        <v>65</v>
      </c>
      <c r="I3594" s="2" t="s">
        <v>8818</v>
      </c>
      <c r="J3594" s="3" t="str">
        <f>HYPERLINK("https://www.boe.es/gazeta/dias/1819/02/20/pdfs/GMD-1819-22.pdf#page=2","Abrir facsímil")</f>
        <v>Abrir facsímil</v>
      </c>
      <c r="K3594" s="3" t="s">
        <v>67</v>
      </c>
    </row>
    <row r="3595" spans="1:11" ht="42" customHeight="1">
      <c r="A3595" s="2" t="s">
        <v>8819</v>
      </c>
      <c r="B3595" s="2" t="s">
        <v>8819</v>
      </c>
      <c r="C3595" s="2" t="s">
        <v>63</v>
      </c>
      <c r="D3595" s="2" t="s">
        <v>43</v>
      </c>
      <c r="E3595" s="5">
        <v>-29281</v>
      </c>
      <c r="F3595" s="3" t="s">
        <v>19</v>
      </c>
      <c r="G3595" s="3" t="s">
        <v>259</v>
      </c>
      <c r="H3595" s="2" t="s">
        <v>65</v>
      </c>
      <c r="I3595" s="2" t="s">
        <v>8820</v>
      </c>
      <c r="J3595" s="3" t="str">
        <f>HYPERLINK("https://www.boe.es/gazeta/dias/1819/10/30/pdfs/GMD-1819-134.pdf#page=2","Abrir facsímil")</f>
        <v>Abrir facsímil</v>
      </c>
      <c r="K3595" s="3" t="s">
        <v>67</v>
      </c>
    </row>
    <row r="3596" spans="1:11" ht="42" customHeight="1">
      <c r="A3596" s="2" t="s">
        <v>8821</v>
      </c>
      <c r="B3596" s="2" t="s">
        <v>8821</v>
      </c>
      <c r="C3596" s="2" t="s">
        <v>63</v>
      </c>
      <c r="D3596" s="2" t="s">
        <v>43</v>
      </c>
      <c r="E3596" s="5">
        <v>-29372</v>
      </c>
      <c r="F3596" s="3" t="s">
        <v>715</v>
      </c>
      <c r="G3596" s="3" t="s">
        <v>296</v>
      </c>
      <c r="H3596" s="2" t="s">
        <v>65</v>
      </c>
      <c r="I3596" s="2" t="s">
        <v>8822</v>
      </c>
      <c r="J3596" s="3" t="str">
        <f>HYPERLINK("https://www.boe.es/gazeta/dias/1819/07/31/pdfs/GMD-1819-92.pdf#page=4","Abrir facsímil")</f>
        <v>Abrir facsímil</v>
      </c>
      <c r="K3596" s="3" t="s">
        <v>67</v>
      </c>
    </row>
    <row r="3597" spans="1:11" ht="42" customHeight="1">
      <c r="A3597" s="2" t="s">
        <v>8823</v>
      </c>
      <c r="B3597" s="2" t="s">
        <v>8824</v>
      </c>
      <c r="C3597" s="2" t="s">
        <v>80</v>
      </c>
      <c r="D3597" s="2" t="s">
        <v>81</v>
      </c>
      <c r="E3597" s="5">
        <v>-29299</v>
      </c>
      <c r="F3597" s="3" t="s">
        <v>798</v>
      </c>
      <c r="G3597" s="3" t="s">
        <v>1562</v>
      </c>
      <c r="H3597" s="2" t="s">
        <v>65</v>
      </c>
      <c r="I3597" s="2" t="s">
        <v>8825</v>
      </c>
      <c r="J3597" s="3" t="str">
        <f>HYPERLINK("https://www.boe.es/gazeta/dias/1819/10/12/pdfs/GMD-1819-125.pdf#page=8","Abrir facsímil")</f>
        <v>Abrir facsímil</v>
      </c>
      <c r="K3597" s="3" t="s">
        <v>67</v>
      </c>
    </row>
    <row r="3598" spans="1:11" ht="42" customHeight="1">
      <c r="A3598" s="2" t="s">
        <v>8826</v>
      </c>
      <c r="B3598" s="2" t="s">
        <v>8827</v>
      </c>
      <c r="C3598" s="2" t="s">
        <v>17</v>
      </c>
      <c r="D3598" s="2" t="s">
        <v>18</v>
      </c>
      <c r="E3598" s="5">
        <v>-29271</v>
      </c>
      <c r="F3598" s="3" t="s">
        <v>32</v>
      </c>
      <c r="G3598" s="3" t="s">
        <v>33</v>
      </c>
      <c r="H3598" s="2" t="s">
        <v>65</v>
      </c>
      <c r="I3598" s="2" t="s">
        <v>8828</v>
      </c>
      <c r="J3598" s="3" t="str">
        <f>HYPERLINK("https://www.boe.es/gazeta/dias/1819/11/09/pdfs/GMD-1819-138.pdf#page=6","Abrir facsímil")</f>
        <v>Abrir facsímil</v>
      </c>
      <c r="K3598" s="3" t="s">
        <v>67</v>
      </c>
    </row>
    <row r="3599" spans="1:11" ht="42" customHeight="1">
      <c r="A3599" s="2" t="s">
        <v>8829</v>
      </c>
      <c r="B3599" s="2" t="s">
        <v>8830</v>
      </c>
      <c r="C3599" s="2" t="s">
        <v>80</v>
      </c>
      <c r="D3599" s="2" t="s">
        <v>81</v>
      </c>
      <c r="E3599" s="5">
        <v>-29542</v>
      </c>
      <c r="F3599" s="3" t="s">
        <v>607</v>
      </c>
      <c r="G3599" s="3" t="s">
        <v>608</v>
      </c>
      <c r="H3599" s="2" t="s">
        <v>21</v>
      </c>
      <c r="I3599" s="2" t="s">
        <v>8831</v>
      </c>
      <c r="J3599" s="3" t="str">
        <f>HYPERLINK("https://www.boe.es/gazeta/dias/1819/02/11/pdfs/GMD-1819-18.pdf#page=6","Abrir facsímil")</f>
        <v>Abrir facsímil</v>
      </c>
      <c r="K3599" s="3" t="s">
        <v>23</v>
      </c>
    </row>
    <row r="3600" spans="1:11" ht="42" customHeight="1">
      <c r="A3600" s="2" t="s">
        <v>8832</v>
      </c>
      <c r="B3600" s="2" t="s">
        <v>8833</v>
      </c>
      <c r="C3600" s="2" t="s">
        <v>215</v>
      </c>
      <c r="D3600" s="2" t="s">
        <v>18</v>
      </c>
      <c r="E3600" s="5">
        <v>-29234</v>
      </c>
      <c r="F3600" s="3" t="s">
        <v>343</v>
      </c>
      <c r="G3600" s="3" t="s">
        <v>28</v>
      </c>
      <c r="H3600" s="2" t="s">
        <v>21</v>
      </c>
      <c r="I3600" s="2" t="s">
        <v>8834</v>
      </c>
      <c r="J3600" s="3" t="str">
        <f>HYPERLINK("https://www.boe.es/gazeta/dias/1819/12/16/pdfs/GMD-1819-154.pdf#page=8","Abrir facsímil")</f>
        <v>Abrir facsímil</v>
      </c>
      <c r="K3600" s="3" t="s">
        <v>23</v>
      </c>
    </row>
    <row r="3601" spans="1:11" ht="42" customHeight="1">
      <c r="A3601" s="2" t="s">
        <v>8835</v>
      </c>
      <c r="B3601" s="2" t="s">
        <v>8835</v>
      </c>
      <c r="C3601" s="2" t="s">
        <v>63</v>
      </c>
      <c r="D3601" s="2" t="s">
        <v>43</v>
      </c>
      <c r="E3601" s="5">
        <v>-29579</v>
      </c>
      <c r="F3601" s="3" t="s">
        <v>186</v>
      </c>
      <c r="G3601" s="3" t="s">
        <v>38</v>
      </c>
      <c r="H3601" s="2" t="s">
        <v>65</v>
      </c>
      <c r="I3601" s="2" t="s">
        <v>8836</v>
      </c>
      <c r="J3601" s="3" t="str">
        <f>HYPERLINK("https://www.boe.es/gazeta/dias/1819/01/05/pdfs/GMD-1819-2.pdf#page=5","Abrir facsímil")</f>
        <v>Abrir facsímil</v>
      </c>
      <c r="K3601" s="3" t="s">
        <v>67</v>
      </c>
    </row>
    <row r="3602" spans="1:11" ht="42" customHeight="1">
      <c r="A3602" s="2" t="s">
        <v>8837</v>
      </c>
      <c r="B3602" s="2" t="s">
        <v>8838</v>
      </c>
      <c r="C3602" s="2" t="s">
        <v>80</v>
      </c>
      <c r="D3602" s="2" t="s">
        <v>81</v>
      </c>
      <c r="E3602" s="5">
        <v>-29332</v>
      </c>
      <c r="F3602" s="3" t="s">
        <v>499</v>
      </c>
      <c r="G3602" s="3" t="s">
        <v>33</v>
      </c>
      <c r="H3602" s="2" t="s">
        <v>65</v>
      </c>
      <c r="I3602" s="2" t="s">
        <v>8839</v>
      </c>
      <c r="J3602" s="3" t="str">
        <f>HYPERLINK("https://www.boe.es/gazeta/dias/1819/09/09/pdfs/GMD-1819-110.pdf#page=6","Abrir facsímil")</f>
        <v>Abrir facsímil</v>
      </c>
      <c r="K3602" s="3" t="s">
        <v>67</v>
      </c>
    </row>
    <row r="3603" spans="1:11" ht="42" customHeight="1">
      <c r="A3603" s="2" t="s">
        <v>8840</v>
      </c>
      <c r="B3603" s="2" t="s">
        <v>8841</v>
      </c>
      <c r="C3603" s="2" t="s">
        <v>80</v>
      </c>
      <c r="D3603" s="2" t="s">
        <v>81</v>
      </c>
      <c r="E3603" s="5">
        <v>-29442</v>
      </c>
      <c r="F3603" s="3" t="s">
        <v>427</v>
      </c>
      <c r="G3603" s="3" t="s">
        <v>55</v>
      </c>
      <c r="H3603" s="2" t="s">
        <v>65</v>
      </c>
      <c r="I3603" s="2" t="s">
        <v>8842</v>
      </c>
      <c r="J3603" s="3" t="str">
        <f>HYPERLINK("https://www.boe.es/gazeta/dias/1819/05/22/pdfs/GMD-1819-61.pdf#page=7","Abrir facsímil")</f>
        <v>Abrir facsímil</v>
      </c>
      <c r="K3603" s="3" t="s">
        <v>67</v>
      </c>
    </row>
    <row r="3604" spans="1:11" ht="42" customHeight="1">
      <c r="A3604" s="2" t="s">
        <v>8843</v>
      </c>
      <c r="B3604" s="2" t="s">
        <v>8843</v>
      </c>
      <c r="C3604" s="2" t="s">
        <v>63</v>
      </c>
      <c r="D3604" s="2" t="s">
        <v>43</v>
      </c>
      <c r="E3604" s="5">
        <v>-29393</v>
      </c>
      <c r="F3604" s="3" t="s">
        <v>536</v>
      </c>
      <c r="G3604" s="3" t="s">
        <v>7310</v>
      </c>
      <c r="H3604" s="2" t="s">
        <v>65</v>
      </c>
      <c r="I3604" s="2" t="s">
        <v>8844</v>
      </c>
      <c r="J3604" s="3" t="str">
        <f>HYPERLINK("https://www.boe.es/gazeta/dias/1819/07/10/pdfs/GMD-1819-83.pdf#page=7","Abrir facsímil")</f>
        <v>Abrir facsímil</v>
      </c>
      <c r="K3604" s="3" t="s">
        <v>67</v>
      </c>
    </row>
    <row r="3605" spans="1:11" ht="42" customHeight="1">
      <c r="A3605" s="2" t="s">
        <v>8845</v>
      </c>
      <c r="B3605" s="2" t="s">
        <v>8846</v>
      </c>
      <c r="C3605" s="2" t="s">
        <v>26</v>
      </c>
      <c r="D3605" s="2" t="s">
        <v>18</v>
      </c>
      <c r="E3605" s="5">
        <v>-29365</v>
      </c>
      <c r="F3605" s="3" t="s">
        <v>218</v>
      </c>
      <c r="G3605" s="3" t="s">
        <v>28</v>
      </c>
      <c r="H3605" s="2" t="s">
        <v>65</v>
      </c>
      <c r="I3605" s="2" t="s">
        <v>8847</v>
      </c>
      <c r="J3605" s="3" t="str">
        <f>HYPERLINK("https://www.boe.es/gazeta/dias/1819/08/07/pdfs/GMD-1819-95.pdf#page=8","Abrir facsímil")</f>
        <v>Abrir facsímil</v>
      </c>
      <c r="K3605" s="3" t="s">
        <v>67</v>
      </c>
    </row>
    <row r="3606" spans="1:11" ht="42" customHeight="1">
      <c r="A3606" s="2" t="s">
        <v>8848</v>
      </c>
      <c r="B3606" s="2" t="s">
        <v>8848</v>
      </c>
      <c r="C3606" s="2" t="s">
        <v>80</v>
      </c>
      <c r="D3606" s="2" t="s">
        <v>81</v>
      </c>
      <c r="E3606" s="5">
        <v>-29306</v>
      </c>
      <c r="F3606" s="3" t="s">
        <v>303</v>
      </c>
      <c r="G3606" s="3" t="s">
        <v>239</v>
      </c>
      <c r="H3606" s="2" t="s">
        <v>65</v>
      </c>
      <c r="I3606" s="2" t="s">
        <v>8849</v>
      </c>
      <c r="J3606" s="3" t="str">
        <f>HYPERLINK("https://www.boe.es/gazeta/dias/1819/10/05/pdfs/GMD-1819-122.pdf#page=1","Abrir facsímil")</f>
        <v>Abrir facsímil</v>
      </c>
      <c r="K3606" s="3" t="s">
        <v>67</v>
      </c>
    </row>
    <row r="3607" spans="1:11" ht="42" customHeight="1">
      <c r="A3607" s="2" t="s">
        <v>8850</v>
      </c>
      <c r="B3607" s="2" t="s">
        <v>8850</v>
      </c>
      <c r="C3607" s="2" t="s">
        <v>59</v>
      </c>
      <c r="D3607" s="2" t="s">
        <v>18</v>
      </c>
      <c r="E3607" s="5">
        <v>-29276</v>
      </c>
      <c r="F3607" s="3" t="s">
        <v>54</v>
      </c>
      <c r="G3607" s="3" t="s">
        <v>239</v>
      </c>
      <c r="H3607" s="2" t="s">
        <v>65</v>
      </c>
      <c r="I3607" s="2" t="s">
        <v>8851</v>
      </c>
      <c r="J3607" s="3" t="str">
        <f>HYPERLINK("https://www.boe.es/gazeta/dias/1819/11/04/pdfs/GMD-1819-136.pdf#page=1","Abrir facsímil")</f>
        <v>Abrir facsímil</v>
      </c>
      <c r="K3607" s="3" t="s">
        <v>67</v>
      </c>
    </row>
    <row r="3608" spans="1:11" ht="42" customHeight="1">
      <c r="A3608" s="2" t="s">
        <v>8852</v>
      </c>
      <c r="B3608" s="2" t="s">
        <v>8853</v>
      </c>
      <c r="C3608" s="2" t="s">
        <v>59</v>
      </c>
      <c r="D3608" s="2" t="s">
        <v>18</v>
      </c>
      <c r="E3608" s="5">
        <v>-29530</v>
      </c>
      <c r="F3608" s="3" t="s">
        <v>202</v>
      </c>
      <c r="G3608" s="3" t="s">
        <v>1487</v>
      </c>
      <c r="H3608" s="2" t="s">
        <v>65</v>
      </c>
      <c r="I3608" s="2" t="s">
        <v>8854</v>
      </c>
      <c r="J3608" s="3" t="str">
        <f>HYPERLINK("https://www.boe.es/gazeta/dias/1819/02/23/pdfs/GMD-1819-23.pdf#page=11","Abrir facsímil")</f>
        <v>Abrir facsímil</v>
      </c>
      <c r="K3608" s="3" t="s">
        <v>67</v>
      </c>
    </row>
    <row r="3609" spans="1:11" ht="42" customHeight="1">
      <c r="A3609" s="2" t="s">
        <v>8855</v>
      </c>
      <c r="B3609" s="2" t="s">
        <v>8856</v>
      </c>
      <c r="C3609" s="2" t="s">
        <v>26</v>
      </c>
      <c r="D3609" s="2" t="s">
        <v>18</v>
      </c>
      <c r="E3609" s="5">
        <v>-29451</v>
      </c>
      <c r="F3609" s="3" t="s">
        <v>208</v>
      </c>
      <c r="G3609" s="3" t="s">
        <v>28</v>
      </c>
      <c r="H3609" s="2" t="s">
        <v>65</v>
      </c>
      <c r="I3609" s="2" t="s">
        <v>8857</v>
      </c>
      <c r="J3609" s="3" t="str">
        <f>HYPERLINK("https://www.boe.es/gazeta/dias/1819/05/13/pdfs/GMD-1819-57.pdf#page=8","Abrir facsímil")</f>
        <v>Abrir facsímil</v>
      </c>
      <c r="K3609" s="3" t="s">
        <v>67</v>
      </c>
    </row>
    <row r="3610" spans="1:11" ht="42" customHeight="1">
      <c r="A3610" s="2" t="s">
        <v>8858</v>
      </c>
      <c r="B3610" s="2" t="s">
        <v>8859</v>
      </c>
      <c r="C3610" s="2" t="s">
        <v>63</v>
      </c>
      <c r="D3610" s="2" t="s">
        <v>43</v>
      </c>
      <c r="E3610" s="5">
        <v>-29281</v>
      </c>
      <c r="F3610" s="3" t="s">
        <v>19</v>
      </c>
      <c r="G3610" s="3" t="s">
        <v>28</v>
      </c>
      <c r="H3610" s="2" t="s">
        <v>65</v>
      </c>
      <c r="I3610" s="2" t="s">
        <v>8860</v>
      </c>
      <c r="J3610" s="3" t="str">
        <f>HYPERLINK("https://www.boe.es/gazeta/dias/1819/10/30/pdfs/GMD-1819-134.pdf#page=8","Abrir facsímil")</f>
        <v>Abrir facsímil</v>
      </c>
      <c r="K3610" s="3" t="s">
        <v>67</v>
      </c>
    </row>
    <row r="3611" spans="1:11" ht="42" customHeight="1">
      <c r="A3611" s="2" t="s">
        <v>8861</v>
      </c>
      <c r="B3611" s="2" t="s">
        <v>8862</v>
      </c>
      <c r="C3611" s="2" t="s">
        <v>59</v>
      </c>
      <c r="D3611" s="2" t="s">
        <v>18</v>
      </c>
      <c r="E3611" s="5">
        <v>-29285</v>
      </c>
      <c r="F3611" s="3" t="s">
        <v>578</v>
      </c>
      <c r="G3611" s="3" t="s">
        <v>28</v>
      </c>
      <c r="H3611" s="2" t="s">
        <v>65</v>
      </c>
      <c r="I3611" s="2" t="s">
        <v>8863</v>
      </c>
      <c r="J3611" s="3" t="str">
        <f>HYPERLINK("https://www.boe.es/gazeta/dias/1819/10/26/pdfs/GMD-1819-132.pdf#page=8","Abrir facsímil")</f>
        <v>Abrir facsímil</v>
      </c>
      <c r="K3611" s="3" t="s">
        <v>67</v>
      </c>
    </row>
    <row r="3612" spans="1:11" ht="42" customHeight="1">
      <c r="A3612" s="2" t="s">
        <v>8864</v>
      </c>
      <c r="B3612" s="2" t="s">
        <v>8865</v>
      </c>
      <c r="C3612" s="2" t="s">
        <v>59</v>
      </c>
      <c r="D3612" s="2" t="s">
        <v>18</v>
      </c>
      <c r="E3612" s="5">
        <v>-29369</v>
      </c>
      <c r="F3612" s="3" t="s">
        <v>231</v>
      </c>
      <c r="G3612" s="3" t="s">
        <v>28</v>
      </c>
      <c r="H3612" s="2" t="s">
        <v>65</v>
      </c>
      <c r="I3612" s="2" t="s">
        <v>8866</v>
      </c>
      <c r="J3612" s="3" t="str">
        <f>HYPERLINK("https://www.boe.es/gazeta/dias/1819/08/03/pdfs/GMD-1819-93.pdf#page=8","Abrir facsímil")</f>
        <v>Abrir facsímil</v>
      </c>
      <c r="K3612" s="3" t="s">
        <v>67</v>
      </c>
    </row>
    <row r="3613" spans="1:11" ht="42" customHeight="1">
      <c r="A3613" s="2" t="s">
        <v>8867</v>
      </c>
      <c r="B3613" s="2" t="s">
        <v>8868</v>
      </c>
      <c r="C3613" s="2" t="s">
        <v>80</v>
      </c>
      <c r="D3613" s="2" t="s">
        <v>81</v>
      </c>
      <c r="E3613" s="5">
        <v>-29276</v>
      </c>
      <c r="F3613" s="3" t="s">
        <v>54</v>
      </c>
      <c r="G3613" s="3" t="s">
        <v>1107</v>
      </c>
      <c r="H3613" s="2" t="s">
        <v>65</v>
      </c>
      <c r="I3613" s="2" t="s">
        <v>8869</v>
      </c>
      <c r="J3613" s="3" t="str">
        <f>HYPERLINK("https://www.boe.es/gazeta/dias/1819/11/04/pdfs/GMD-1819-136.pdf#page=5","Abrir facsímil")</f>
        <v>Abrir facsímil</v>
      </c>
      <c r="K3613" s="3" t="s">
        <v>67</v>
      </c>
    </row>
    <row r="3614" spans="1:11" ht="42" customHeight="1">
      <c r="A3614" s="2" t="s">
        <v>8870</v>
      </c>
      <c r="B3614" s="2" t="s">
        <v>8871</v>
      </c>
      <c r="C3614" s="2" t="s">
        <v>26</v>
      </c>
      <c r="D3614" s="2" t="s">
        <v>18</v>
      </c>
      <c r="E3614" s="5">
        <v>-29432</v>
      </c>
      <c r="F3614" s="3" t="s">
        <v>1967</v>
      </c>
      <c r="G3614" s="3" t="s">
        <v>38</v>
      </c>
      <c r="H3614" s="2" t="s">
        <v>65</v>
      </c>
      <c r="I3614" s="2" t="s">
        <v>8872</v>
      </c>
      <c r="J3614" s="3" t="str">
        <f>HYPERLINK("https://www.boe.es/gazeta/dias/1819/06/01/pdfs/GMD-1819-65.pdf#page=5","Abrir facsímil")</f>
        <v>Abrir facsímil</v>
      </c>
      <c r="K3614" s="3" t="s">
        <v>67</v>
      </c>
    </row>
    <row r="3615" spans="1:11" ht="42" customHeight="1">
      <c r="A3615" s="2" t="s">
        <v>8873</v>
      </c>
      <c r="B3615" s="2" t="s">
        <v>8874</v>
      </c>
      <c r="C3615" s="2" t="s">
        <v>63</v>
      </c>
      <c r="D3615" s="2" t="s">
        <v>43</v>
      </c>
      <c r="E3615" s="5">
        <v>-29316</v>
      </c>
      <c r="F3615" s="3" t="s">
        <v>166</v>
      </c>
      <c r="G3615" s="3" t="s">
        <v>28</v>
      </c>
      <c r="H3615" s="2" t="s">
        <v>65</v>
      </c>
      <c r="I3615" s="2" t="s">
        <v>8875</v>
      </c>
      <c r="J3615" s="3" t="str">
        <f>HYPERLINK("https://www.boe.es/gazeta/dias/1819/09/25/pdfs/GMD-1819-118.pdf#page=8","Abrir facsímil")</f>
        <v>Abrir facsímil</v>
      </c>
      <c r="K3615" s="3" t="s">
        <v>67</v>
      </c>
    </row>
    <row r="3616" spans="1:11" ht="42" customHeight="1">
      <c r="A3616" s="2" t="s">
        <v>8876</v>
      </c>
      <c r="B3616" s="2" t="s">
        <v>8877</v>
      </c>
      <c r="C3616" s="2" t="s">
        <v>80</v>
      </c>
      <c r="D3616" s="2" t="s">
        <v>81</v>
      </c>
      <c r="E3616" s="5">
        <v>-29250</v>
      </c>
      <c r="F3616" s="3" t="s">
        <v>312</v>
      </c>
      <c r="G3616" s="3" t="s">
        <v>313</v>
      </c>
      <c r="H3616" s="2" t="s">
        <v>65</v>
      </c>
      <c r="I3616" s="2" t="s">
        <v>8878</v>
      </c>
      <c r="J3616" s="3" t="str">
        <f>HYPERLINK("https://www.boe.es/gazeta/dias/1819/11/30/pdfs/GMD-1819-147.pdf#page=8","Abrir facsímil")</f>
        <v>Abrir facsímil</v>
      </c>
      <c r="K3616" s="3" t="s">
        <v>67</v>
      </c>
    </row>
    <row r="3617" spans="1:11" ht="42" customHeight="1">
      <c r="A3617" s="2" t="s">
        <v>8879</v>
      </c>
      <c r="B3617" s="2" t="s">
        <v>8880</v>
      </c>
      <c r="C3617" s="2" t="s">
        <v>63</v>
      </c>
      <c r="D3617" s="2" t="s">
        <v>43</v>
      </c>
      <c r="E3617" s="5">
        <v>-29281</v>
      </c>
      <c r="F3617" s="3" t="s">
        <v>19</v>
      </c>
      <c r="G3617" s="3" t="s">
        <v>138</v>
      </c>
      <c r="H3617" s="2" t="s">
        <v>21</v>
      </c>
      <c r="I3617" s="2" t="s">
        <v>8881</v>
      </c>
      <c r="J3617" s="3" t="str">
        <f>HYPERLINK("https://www.boe.es/gazeta/dias/1819/10/30/pdfs/GMD-1819-134.pdf#page=12","Abrir facsímil")</f>
        <v>Abrir facsímil</v>
      </c>
      <c r="K3617" s="3" t="s">
        <v>23</v>
      </c>
    </row>
    <row r="3618" spans="1:11" ht="42" customHeight="1">
      <c r="A3618" s="2" t="s">
        <v>8882</v>
      </c>
      <c r="B3618" s="2" t="s">
        <v>8883</v>
      </c>
      <c r="C3618" s="2" t="s">
        <v>59</v>
      </c>
      <c r="D3618" s="2" t="s">
        <v>18</v>
      </c>
      <c r="E3618" s="5">
        <v>-29358</v>
      </c>
      <c r="F3618" s="3" t="s">
        <v>170</v>
      </c>
      <c r="G3618" s="3" t="s">
        <v>28</v>
      </c>
      <c r="H3618" s="2" t="s">
        <v>21</v>
      </c>
      <c r="I3618" s="2" t="s">
        <v>8884</v>
      </c>
      <c r="J3618" s="3" t="str">
        <f>HYPERLINK("https://www.boe.es/gazeta/dias/1819/08/14/pdfs/GMD-1819-98.pdf#page=8","Abrir facsímil")</f>
        <v>Abrir facsímil</v>
      </c>
      <c r="K3618" s="3" t="s">
        <v>23</v>
      </c>
    </row>
    <row r="3619" spans="1:11" ht="42" customHeight="1">
      <c r="A3619" s="2" t="s">
        <v>8885</v>
      </c>
      <c r="B3619" s="2" t="s">
        <v>8886</v>
      </c>
      <c r="C3619" s="2" t="s">
        <v>80</v>
      </c>
      <c r="D3619" s="2" t="s">
        <v>81</v>
      </c>
      <c r="E3619" s="5">
        <v>-29222</v>
      </c>
      <c r="F3619" s="3" t="s">
        <v>338</v>
      </c>
      <c r="G3619" s="3" t="s">
        <v>988</v>
      </c>
      <c r="H3619" s="2" t="s">
        <v>65</v>
      </c>
      <c r="I3619" s="2" t="s">
        <v>8887</v>
      </c>
      <c r="J3619" s="3" t="str">
        <f>HYPERLINK("https://www.boe.es/gazeta/dias/1819/12/28/pdfs/GMD-1819-159.pdf#page=4","Abrir facsímil")</f>
        <v>Abrir facsímil</v>
      </c>
      <c r="K3619" s="3" t="s">
        <v>67</v>
      </c>
    </row>
    <row r="3620" spans="1:11" ht="42" customHeight="1">
      <c r="A3620" s="2" t="s">
        <v>8888</v>
      </c>
      <c r="B3620" s="2" t="s">
        <v>8889</v>
      </c>
      <c r="C3620" s="2" t="s">
        <v>17</v>
      </c>
      <c r="D3620" s="2" t="s">
        <v>18</v>
      </c>
      <c r="E3620" s="5">
        <v>-29253</v>
      </c>
      <c r="F3620" s="3" t="s">
        <v>242</v>
      </c>
      <c r="G3620" s="3" t="s">
        <v>33</v>
      </c>
      <c r="H3620" s="2" t="s">
        <v>65</v>
      </c>
      <c r="I3620" s="2" t="s">
        <v>8890</v>
      </c>
      <c r="J3620" s="3" t="str">
        <f>HYPERLINK("https://www.boe.es/gazeta/dias/1819/11/27/pdfs/GMD-1819-146.pdf#page=6","Abrir facsímil")</f>
        <v>Abrir facsímil</v>
      </c>
      <c r="K3620" s="3" t="s">
        <v>67</v>
      </c>
    </row>
    <row r="3621" spans="1:11" ht="42" customHeight="1">
      <c r="A3621" s="2" t="s">
        <v>8891</v>
      </c>
      <c r="B3621" s="2" t="s">
        <v>8891</v>
      </c>
      <c r="C3621" s="2" t="s">
        <v>80</v>
      </c>
      <c r="D3621" s="2" t="s">
        <v>81</v>
      </c>
      <c r="E3621" s="5">
        <v>-29486</v>
      </c>
      <c r="F3621" s="3" t="s">
        <v>330</v>
      </c>
      <c r="G3621" s="3" t="s">
        <v>38</v>
      </c>
      <c r="H3621" s="2" t="s">
        <v>65</v>
      </c>
      <c r="I3621" s="2" t="s">
        <v>8892</v>
      </c>
      <c r="J3621" s="3" t="str">
        <f>HYPERLINK("https://www.boe.es/gazeta/dias/1819/04/08/pdfs/GMD-1819-42.pdf#page=5","Abrir facsímil")</f>
        <v>Abrir facsímil</v>
      </c>
      <c r="K3621" s="3" t="s">
        <v>67</v>
      </c>
    </row>
    <row r="3622" spans="1:11" ht="42" customHeight="1">
      <c r="A3622" s="2" t="s">
        <v>8893</v>
      </c>
      <c r="B3622" s="2" t="s">
        <v>8894</v>
      </c>
      <c r="C3622" s="2" t="s">
        <v>26</v>
      </c>
      <c r="D3622" s="2" t="s">
        <v>18</v>
      </c>
      <c r="E3622" s="5">
        <v>-29558</v>
      </c>
      <c r="F3622" s="3" t="s">
        <v>1463</v>
      </c>
      <c r="G3622" s="3" t="s">
        <v>28</v>
      </c>
      <c r="H3622" s="2" t="s">
        <v>65</v>
      </c>
      <c r="I3622" s="2" t="s">
        <v>8895</v>
      </c>
      <c r="J3622" s="3" t="str">
        <f>HYPERLINK("https://www.boe.es/gazeta/dias/1819/01/26/pdfs/GMD-1819-11.pdf#page=8","Abrir facsímil")</f>
        <v>Abrir facsímil</v>
      </c>
      <c r="K3622" s="3" t="s">
        <v>67</v>
      </c>
    </row>
    <row r="3623" spans="1:11" ht="42" customHeight="1">
      <c r="A3623" s="2" t="s">
        <v>8896</v>
      </c>
      <c r="B3623" s="2" t="s">
        <v>8897</v>
      </c>
      <c r="C3623" s="2" t="s">
        <v>63</v>
      </c>
      <c r="D3623" s="2" t="s">
        <v>43</v>
      </c>
      <c r="E3623" s="5">
        <v>-29367</v>
      </c>
      <c r="F3623" s="3" t="s">
        <v>571</v>
      </c>
      <c r="G3623" s="3" t="s">
        <v>28</v>
      </c>
      <c r="H3623" s="2" t="s">
        <v>65</v>
      </c>
      <c r="I3623" s="2" t="s">
        <v>8898</v>
      </c>
      <c r="J3623" s="3" t="str">
        <f>HYPERLINK("https://www.boe.es/gazeta/dias/1819/08/05/pdfs/GMD-1819-94.pdf#page=8","Abrir facsímil")</f>
        <v>Abrir facsímil</v>
      </c>
      <c r="K3623" s="3" t="s">
        <v>67</v>
      </c>
    </row>
    <row r="3624" spans="1:11" ht="42" customHeight="1">
      <c r="A3624" s="2" t="s">
        <v>8899</v>
      </c>
      <c r="B3624" s="2" t="s">
        <v>8899</v>
      </c>
      <c r="C3624" s="2" t="s">
        <v>80</v>
      </c>
      <c r="D3624" s="2" t="s">
        <v>81</v>
      </c>
      <c r="E3624" s="5">
        <v>-29465</v>
      </c>
      <c r="F3624" s="3" t="s">
        <v>1934</v>
      </c>
      <c r="G3624" s="3" t="s">
        <v>28</v>
      </c>
      <c r="H3624" s="2" t="s">
        <v>65</v>
      </c>
      <c r="I3624" s="2" t="s">
        <v>8900</v>
      </c>
      <c r="J3624" s="3" t="str">
        <f>HYPERLINK("https://www.boe.es/gazeta/dias/1819/04/29/pdfs/GMD-1819-51.pdf#page=8","Abrir facsímil")</f>
        <v>Abrir facsímil</v>
      </c>
      <c r="K3624" s="3" t="s">
        <v>67</v>
      </c>
    </row>
    <row r="3625" spans="1:11" ht="42" customHeight="1">
      <c r="A3625" s="2" t="s">
        <v>8901</v>
      </c>
      <c r="B3625" s="2" t="s">
        <v>8901</v>
      </c>
      <c r="C3625" s="2" t="s">
        <v>80</v>
      </c>
      <c r="D3625" s="2" t="s">
        <v>81</v>
      </c>
      <c r="E3625" s="5">
        <v>-29418</v>
      </c>
      <c r="F3625" s="3" t="s">
        <v>447</v>
      </c>
      <c r="G3625" s="3" t="s">
        <v>296</v>
      </c>
      <c r="H3625" s="2" t="s">
        <v>65</v>
      </c>
      <c r="I3625" s="2" t="s">
        <v>8902</v>
      </c>
      <c r="J3625" s="3" t="str">
        <f>HYPERLINK("https://www.boe.es/gazeta/dias/1819/06/15/pdfs/GMD-1819-72.pdf#page=4","Abrir facsímil")</f>
        <v>Abrir facsímil</v>
      </c>
      <c r="K3625" s="3" t="s">
        <v>67</v>
      </c>
    </row>
    <row r="3626" spans="1:11" ht="42" customHeight="1">
      <c r="A3626" s="2" t="s">
        <v>8903</v>
      </c>
      <c r="B3626" s="2" t="s">
        <v>8904</v>
      </c>
      <c r="C3626" s="2" t="s">
        <v>26</v>
      </c>
      <c r="D3626" s="2" t="s">
        <v>18</v>
      </c>
      <c r="E3626" s="5">
        <v>-29337</v>
      </c>
      <c r="F3626" s="3" t="s">
        <v>1098</v>
      </c>
      <c r="G3626" s="3" t="s">
        <v>28</v>
      </c>
      <c r="H3626" s="2" t="s">
        <v>65</v>
      </c>
      <c r="I3626" s="2" t="s">
        <v>8905</v>
      </c>
      <c r="J3626" s="3" t="str">
        <f>HYPERLINK("https://www.boe.es/gazeta/dias/1819/09/04/pdfs/GMD-1819-108.pdf#page=8","Abrir facsímil")</f>
        <v>Abrir facsímil</v>
      </c>
      <c r="K3626" s="3" t="s">
        <v>67</v>
      </c>
    </row>
    <row r="3627" spans="1:11" ht="42" customHeight="1">
      <c r="A3627" s="2" t="s">
        <v>8906</v>
      </c>
      <c r="B3627" s="2" t="s">
        <v>8907</v>
      </c>
      <c r="C3627" s="2" t="s">
        <v>80</v>
      </c>
      <c r="D3627" s="2" t="s">
        <v>454</v>
      </c>
      <c r="E3627" s="5">
        <v>-29287</v>
      </c>
      <c r="F3627" s="3" t="s">
        <v>455</v>
      </c>
      <c r="G3627" s="3" t="s">
        <v>1113</v>
      </c>
      <c r="H3627" s="2" t="s">
        <v>65</v>
      </c>
      <c r="I3627" s="2" t="s">
        <v>8908</v>
      </c>
      <c r="J3627" s="3" t="str">
        <f>HYPERLINK("https://www.boe.es/gazeta/dias/1819/10/24/pdfs/GMD-1819-131E.pdf#page=7","Abrir facsímil")</f>
        <v>Abrir facsímil</v>
      </c>
      <c r="K3627" s="3" t="s">
        <v>67</v>
      </c>
    </row>
    <row r="3628" spans="1:11" ht="42" customHeight="1">
      <c r="A3628" s="2" t="s">
        <v>8909</v>
      </c>
      <c r="B3628" s="2" t="s">
        <v>8910</v>
      </c>
      <c r="C3628" s="2" t="s">
        <v>59</v>
      </c>
      <c r="D3628" s="2" t="s">
        <v>18</v>
      </c>
      <c r="E3628" s="5">
        <v>-29547</v>
      </c>
      <c r="F3628" s="3" t="s">
        <v>238</v>
      </c>
      <c r="G3628" s="3" t="s">
        <v>55</v>
      </c>
      <c r="H3628" s="2" t="s">
        <v>65</v>
      </c>
      <c r="I3628" s="2" t="s">
        <v>8911</v>
      </c>
      <c r="J3628" s="3" t="str">
        <f>HYPERLINK("https://www.boe.es/gazeta/dias/1819/02/06/pdfs/GMD-1819-16.pdf#page=7","Abrir facsímil")</f>
        <v>Abrir facsímil</v>
      </c>
      <c r="K3628" s="3" t="s">
        <v>67</v>
      </c>
    </row>
    <row r="3629" spans="1:11" ht="42" customHeight="1">
      <c r="A3629" s="2" t="s">
        <v>8912</v>
      </c>
      <c r="B3629" s="2" t="s">
        <v>8913</v>
      </c>
      <c r="C3629" s="2" t="s">
        <v>80</v>
      </c>
      <c r="D3629" s="2" t="s">
        <v>81</v>
      </c>
      <c r="E3629" s="5">
        <v>-29579</v>
      </c>
      <c r="F3629" s="3" t="s">
        <v>186</v>
      </c>
      <c r="G3629" s="3" t="s">
        <v>33</v>
      </c>
      <c r="H3629" s="2" t="s">
        <v>65</v>
      </c>
      <c r="I3629" s="2" t="s">
        <v>8914</v>
      </c>
      <c r="J3629" s="3" t="str">
        <f>HYPERLINK("https://www.boe.es/gazeta/dias/1819/01/05/pdfs/GMD-1819-2.pdf#page=6","Abrir facsímil")</f>
        <v>Abrir facsímil</v>
      </c>
      <c r="K3629" s="3" t="s">
        <v>67</v>
      </c>
    </row>
    <row r="3630" spans="1:11" ht="42" customHeight="1">
      <c r="A3630" s="2" t="s">
        <v>8915</v>
      </c>
      <c r="B3630" s="2" t="s">
        <v>8916</v>
      </c>
      <c r="C3630" s="2" t="s">
        <v>80</v>
      </c>
      <c r="D3630" s="2" t="s">
        <v>454</v>
      </c>
      <c r="E3630" s="5">
        <v>-29287</v>
      </c>
      <c r="F3630" s="3" t="s">
        <v>455</v>
      </c>
      <c r="G3630" s="3" t="s">
        <v>456</v>
      </c>
      <c r="H3630" s="2" t="s">
        <v>65</v>
      </c>
      <c r="I3630" s="2" t="s">
        <v>8917</v>
      </c>
      <c r="J3630" s="3" t="str">
        <f>HYPERLINK("https://www.boe.es/gazeta/dias/1819/10/24/pdfs/GMD-1819-131E.pdf#page=9","Abrir facsímil")</f>
        <v>Abrir facsímil</v>
      </c>
      <c r="K3630" s="3" t="s">
        <v>67</v>
      </c>
    </row>
    <row r="3631" spans="1:11" ht="42" customHeight="1">
      <c r="A3631" s="2" t="s">
        <v>8918</v>
      </c>
      <c r="B3631" s="2" t="s">
        <v>8919</v>
      </c>
      <c r="C3631" s="2" t="s">
        <v>17</v>
      </c>
      <c r="D3631" s="2" t="s">
        <v>18</v>
      </c>
      <c r="E3631" s="5">
        <v>-29271</v>
      </c>
      <c r="F3631" s="3" t="s">
        <v>32</v>
      </c>
      <c r="G3631" s="3" t="s">
        <v>33</v>
      </c>
      <c r="H3631" s="2" t="s">
        <v>65</v>
      </c>
      <c r="I3631" s="2" t="s">
        <v>8920</v>
      </c>
      <c r="J3631" s="3" t="str">
        <f>HYPERLINK("https://www.boe.es/gazeta/dias/1819/11/09/pdfs/GMD-1819-138.pdf#page=6","Abrir facsímil")</f>
        <v>Abrir facsímil</v>
      </c>
      <c r="K3631" s="3" t="s">
        <v>67</v>
      </c>
    </row>
    <row r="3632" spans="1:11" ht="42" customHeight="1">
      <c r="A3632" s="2" t="s">
        <v>8921</v>
      </c>
      <c r="B3632" s="2" t="s">
        <v>8922</v>
      </c>
      <c r="C3632" s="2" t="s">
        <v>80</v>
      </c>
      <c r="D3632" s="2" t="s">
        <v>454</v>
      </c>
      <c r="E3632" s="5">
        <v>-29287</v>
      </c>
      <c r="F3632" s="3" t="s">
        <v>455</v>
      </c>
      <c r="G3632" s="3" t="s">
        <v>456</v>
      </c>
      <c r="H3632" s="2" t="s">
        <v>65</v>
      </c>
      <c r="I3632" s="2" t="s">
        <v>8923</v>
      </c>
      <c r="J3632" s="3" t="str">
        <f>HYPERLINK("https://www.boe.es/gazeta/dias/1819/10/24/pdfs/GMD-1819-131E.pdf#page=9","Abrir facsímil")</f>
        <v>Abrir facsímil</v>
      </c>
      <c r="K3632" s="3" t="s">
        <v>67</v>
      </c>
    </row>
    <row r="3633" spans="1:11" ht="42" customHeight="1">
      <c r="A3633" s="2" t="s">
        <v>8924</v>
      </c>
      <c r="B3633" s="2" t="s">
        <v>8925</v>
      </c>
      <c r="C3633" s="2" t="s">
        <v>136</v>
      </c>
      <c r="D3633" s="2" t="s">
        <v>18</v>
      </c>
      <c r="E3633" s="5">
        <v>-29521</v>
      </c>
      <c r="F3633" s="3" t="s">
        <v>1002</v>
      </c>
      <c r="G3633" s="3" t="s">
        <v>33</v>
      </c>
      <c r="H3633" s="2" t="s">
        <v>65</v>
      </c>
      <c r="I3633" s="2" t="s">
        <v>8926</v>
      </c>
      <c r="J3633" s="3" t="str">
        <f>HYPERLINK("https://www.boe.es/gazeta/dias/1819/03/04/pdfs/GMD-1819-27.pdf#page=6","Abrir facsímil")</f>
        <v>Abrir facsímil</v>
      </c>
      <c r="K3633" s="3" t="s">
        <v>67</v>
      </c>
    </row>
    <row r="3634" spans="1:11" ht="42" customHeight="1">
      <c r="A3634" s="2" t="s">
        <v>8927</v>
      </c>
      <c r="B3634" s="2" t="s">
        <v>8928</v>
      </c>
      <c r="C3634" s="2" t="s">
        <v>59</v>
      </c>
      <c r="D3634" s="2" t="s">
        <v>18</v>
      </c>
      <c r="E3634" s="5">
        <v>-29535</v>
      </c>
      <c r="F3634" s="3" t="s">
        <v>200</v>
      </c>
      <c r="G3634" s="3" t="s">
        <v>33</v>
      </c>
      <c r="H3634" s="2" t="s">
        <v>65</v>
      </c>
      <c r="I3634" s="2" t="s">
        <v>8929</v>
      </c>
      <c r="J3634" s="3" t="str">
        <f>HYPERLINK("https://www.boe.es/gazeta/dias/1819/02/18/pdfs/GMD-1819-21.pdf#page=6","Abrir facsímil")</f>
        <v>Abrir facsímil</v>
      </c>
      <c r="K3634" s="3" t="s">
        <v>67</v>
      </c>
    </row>
    <row r="3635" spans="1:11" ht="42" customHeight="1">
      <c r="A3635" s="2" t="s">
        <v>8930</v>
      </c>
      <c r="B3635" s="2" t="s">
        <v>8930</v>
      </c>
      <c r="C3635" s="2" t="s">
        <v>59</v>
      </c>
      <c r="D3635" s="2" t="s">
        <v>18</v>
      </c>
      <c r="E3635" s="5">
        <v>-29409</v>
      </c>
      <c r="F3635" s="3" t="s">
        <v>106</v>
      </c>
      <c r="G3635" s="3" t="s">
        <v>102</v>
      </c>
      <c r="H3635" s="2" t="s">
        <v>65</v>
      </c>
      <c r="I3635" s="2" t="s">
        <v>8931</v>
      </c>
      <c r="J3635" s="3" t="str">
        <f>HYPERLINK("https://www.boe.es/gazeta/dias/1819/06/24/pdfs/GMD-1819-76.pdf#page=3","Abrir facsímil")</f>
        <v>Abrir facsímil</v>
      </c>
      <c r="K3635" s="3" t="s">
        <v>67</v>
      </c>
    </row>
    <row r="3636" spans="1:11" ht="42" customHeight="1">
      <c r="A3636" s="2" t="s">
        <v>8932</v>
      </c>
      <c r="B3636" s="2" t="s">
        <v>8932</v>
      </c>
      <c r="C3636" s="2" t="s">
        <v>80</v>
      </c>
      <c r="D3636" s="2" t="s">
        <v>81</v>
      </c>
      <c r="E3636" s="5">
        <v>-29535</v>
      </c>
      <c r="F3636" s="3" t="s">
        <v>200</v>
      </c>
      <c r="G3636" s="3" t="s">
        <v>259</v>
      </c>
      <c r="H3636" s="2" t="s">
        <v>65</v>
      </c>
      <c r="I3636" s="2" t="s">
        <v>8933</v>
      </c>
      <c r="J3636" s="3" t="str">
        <f>HYPERLINK("https://www.boe.es/gazeta/dias/1819/02/18/pdfs/GMD-1819-21.pdf#page=2","Abrir facsímil")</f>
        <v>Abrir facsímil</v>
      </c>
      <c r="K3636" s="3" t="s">
        <v>67</v>
      </c>
    </row>
    <row r="3637" spans="1:11" ht="42" customHeight="1">
      <c r="A3637" s="2" t="s">
        <v>8934</v>
      </c>
      <c r="B3637" s="2" t="s">
        <v>8934</v>
      </c>
      <c r="C3637" s="2" t="s">
        <v>80</v>
      </c>
      <c r="D3637" s="2" t="s">
        <v>81</v>
      </c>
      <c r="E3637" s="5">
        <v>-29437</v>
      </c>
      <c r="F3637" s="3" t="s">
        <v>1147</v>
      </c>
      <c r="G3637" s="3" t="s">
        <v>239</v>
      </c>
      <c r="H3637" s="2" t="s">
        <v>65</v>
      </c>
      <c r="I3637" s="2" t="s">
        <v>8935</v>
      </c>
      <c r="J3637" s="3" t="str">
        <f>HYPERLINK("https://www.boe.es/gazeta/dias/1819/05/27/pdfs/GMD-1819-63.pdf#page=1","Abrir facsímil")</f>
        <v>Abrir facsímil</v>
      </c>
      <c r="K3637" s="3" t="s">
        <v>67</v>
      </c>
    </row>
    <row r="3638" spans="1:11" ht="42" customHeight="1">
      <c r="A3638" s="2" t="s">
        <v>8936</v>
      </c>
      <c r="B3638" s="2" t="s">
        <v>8937</v>
      </c>
      <c r="C3638" s="2" t="s">
        <v>80</v>
      </c>
      <c r="D3638" s="2" t="s">
        <v>81</v>
      </c>
      <c r="E3638" s="5">
        <v>-29372</v>
      </c>
      <c r="F3638" s="3" t="s">
        <v>715</v>
      </c>
      <c r="G3638" s="3" t="s">
        <v>716</v>
      </c>
      <c r="H3638" s="2" t="s">
        <v>65</v>
      </c>
      <c r="I3638" s="2" t="s">
        <v>8938</v>
      </c>
      <c r="J3638" s="3" t="str">
        <f>HYPERLINK("https://www.boe.es/gazeta/dias/1819/07/31/pdfs/GMD-1819-92.pdf#page=5","Abrir facsímil")</f>
        <v>Abrir facsímil</v>
      </c>
      <c r="K3638" s="3" t="s">
        <v>67</v>
      </c>
    </row>
    <row r="3639" spans="1:11" ht="42" customHeight="1">
      <c r="A3639" s="2" t="s">
        <v>8939</v>
      </c>
      <c r="B3639" s="2" t="s">
        <v>8940</v>
      </c>
      <c r="C3639" s="2" t="s">
        <v>26</v>
      </c>
      <c r="D3639" s="2" t="s">
        <v>18</v>
      </c>
      <c r="E3639" s="5">
        <v>-29334</v>
      </c>
      <c r="F3639" s="3" t="s">
        <v>3082</v>
      </c>
      <c r="G3639" s="3" t="s">
        <v>28</v>
      </c>
      <c r="H3639" s="2" t="s">
        <v>21</v>
      </c>
      <c r="I3639" s="2" t="s">
        <v>8941</v>
      </c>
      <c r="J3639" s="3" t="str">
        <f>HYPERLINK("https://www.boe.es/gazeta/dias/1819/09/07/pdfs/GMD-1819-109.pdf#page=8","Abrir facsímil")</f>
        <v>Abrir facsímil</v>
      </c>
      <c r="K3639" s="3" t="s">
        <v>23</v>
      </c>
    </row>
    <row r="3640" spans="1:11" ht="42" customHeight="1">
      <c r="A3640" s="2" t="s">
        <v>8942</v>
      </c>
      <c r="B3640" s="2" t="s">
        <v>8943</v>
      </c>
      <c r="C3640" s="2" t="s">
        <v>59</v>
      </c>
      <c r="D3640" s="2" t="s">
        <v>18</v>
      </c>
      <c r="E3640" s="5">
        <v>-29369</v>
      </c>
      <c r="F3640" s="3" t="s">
        <v>231</v>
      </c>
      <c r="G3640" s="3" t="s">
        <v>33</v>
      </c>
      <c r="H3640" s="2" t="s">
        <v>65</v>
      </c>
      <c r="I3640" s="2" t="s">
        <v>8944</v>
      </c>
      <c r="J3640" s="3" t="str">
        <f>HYPERLINK("https://www.boe.es/gazeta/dias/1819/08/03/pdfs/GMD-1819-93.pdf#page=6","Abrir facsímil")</f>
        <v>Abrir facsímil</v>
      </c>
      <c r="K3640" s="3" t="s">
        <v>67</v>
      </c>
    </row>
    <row r="3641" spans="1:11" ht="42" customHeight="1">
      <c r="A3641" s="2" t="s">
        <v>8945</v>
      </c>
      <c r="B3641" s="2" t="s">
        <v>8946</v>
      </c>
      <c r="C3641" s="2" t="s">
        <v>80</v>
      </c>
      <c r="D3641" s="2" t="s">
        <v>454</v>
      </c>
      <c r="E3641" s="5">
        <v>-29324</v>
      </c>
      <c r="F3641" s="3" t="s">
        <v>914</v>
      </c>
      <c r="G3641" s="3" t="s">
        <v>102</v>
      </c>
      <c r="H3641" s="2" t="s">
        <v>65</v>
      </c>
      <c r="I3641" s="2" t="s">
        <v>8947</v>
      </c>
      <c r="J3641" s="3" t="str">
        <f>HYPERLINK("https://www.boe.es/gazeta/dias/1819/09/17/pdfs/GMD-1819-114E.pdf#page=3","Abrir facsímil")</f>
        <v>Abrir facsímil</v>
      </c>
      <c r="K3641" s="3" t="s">
        <v>67</v>
      </c>
    </row>
    <row r="3642" spans="1:11" ht="42" customHeight="1">
      <c r="A3642" s="2" t="s">
        <v>8948</v>
      </c>
      <c r="B3642" s="2" t="s">
        <v>8949</v>
      </c>
      <c r="C3642" s="2" t="s">
        <v>80</v>
      </c>
      <c r="D3642" s="2" t="s">
        <v>81</v>
      </c>
      <c r="E3642" s="5">
        <v>-29556</v>
      </c>
      <c r="F3642" s="3" t="s">
        <v>255</v>
      </c>
      <c r="G3642" s="3" t="s">
        <v>55</v>
      </c>
      <c r="H3642" s="2" t="s">
        <v>65</v>
      </c>
      <c r="I3642" s="2" t="s">
        <v>8950</v>
      </c>
      <c r="J3642" s="3" t="str">
        <f>HYPERLINK("https://www.boe.es/gazeta/dias/1819/01/28/pdfs/GMD-1819-12.pdf#page=7","Abrir facsímil")</f>
        <v>Abrir facsímil</v>
      </c>
      <c r="K3642" s="3" t="s">
        <v>67</v>
      </c>
    </row>
    <row r="3643" spans="1:11" ht="42" customHeight="1">
      <c r="A3643" s="2" t="s">
        <v>8951</v>
      </c>
      <c r="B3643" s="2" t="s">
        <v>8952</v>
      </c>
      <c r="C3643" s="2" t="s">
        <v>80</v>
      </c>
      <c r="D3643" s="2" t="s">
        <v>81</v>
      </c>
      <c r="E3643" s="5">
        <v>-29556</v>
      </c>
      <c r="F3643" s="3" t="s">
        <v>255</v>
      </c>
      <c r="G3643" s="3" t="s">
        <v>55</v>
      </c>
      <c r="H3643" s="2" t="s">
        <v>65</v>
      </c>
      <c r="I3643" s="2" t="s">
        <v>8953</v>
      </c>
      <c r="J3643" s="3" t="str">
        <f>HYPERLINK("https://www.boe.es/gazeta/dias/1819/01/28/pdfs/GMD-1819-12.pdf#page=7","Abrir facsímil")</f>
        <v>Abrir facsímil</v>
      </c>
      <c r="K3643" s="3" t="s">
        <v>67</v>
      </c>
    </row>
    <row r="3644" spans="1:11" ht="42" customHeight="1">
      <c r="A3644" s="2" t="s">
        <v>8954</v>
      </c>
      <c r="B3644" s="2" t="s">
        <v>8954</v>
      </c>
      <c r="C3644" s="2" t="s">
        <v>246</v>
      </c>
      <c r="D3644" s="2" t="s">
        <v>18</v>
      </c>
      <c r="E3644" s="5">
        <v>-29281</v>
      </c>
      <c r="F3644" s="3" t="s">
        <v>19</v>
      </c>
      <c r="G3644" s="3" t="s">
        <v>239</v>
      </c>
      <c r="H3644" s="2" t="s">
        <v>65</v>
      </c>
      <c r="I3644" s="2" t="s">
        <v>8955</v>
      </c>
      <c r="J3644" s="3" t="str">
        <f>HYPERLINK("https://www.boe.es/gazeta/dias/1819/10/30/pdfs/GMD-1819-134.pdf#page=1","Abrir facsímil")</f>
        <v>Abrir facsímil</v>
      </c>
      <c r="K3644" s="3" t="s">
        <v>67</v>
      </c>
    </row>
    <row r="3645" spans="1:11" ht="42" customHeight="1">
      <c r="A3645" s="2" t="s">
        <v>8956</v>
      </c>
      <c r="B3645" s="2" t="s">
        <v>8956</v>
      </c>
      <c r="C3645" s="2" t="s">
        <v>63</v>
      </c>
      <c r="D3645" s="2" t="s">
        <v>43</v>
      </c>
      <c r="E3645" s="5">
        <v>-29554</v>
      </c>
      <c r="F3645" s="3" t="s">
        <v>150</v>
      </c>
      <c r="G3645" s="3" t="s">
        <v>259</v>
      </c>
      <c r="H3645" s="2" t="s">
        <v>65</v>
      </c>
      <c r="I3645" s="2" t="s">
        <v>8957</v>
      </c>
      <c r="J3645" s="3" t="str">
        <f>HYPERLINK("https://www.boe.es/gazeta/dias/1819/01/30/pdfs/GMD-1819-13.pdf#page=2","Abrir facsímil")</f>
        <v>Abrir facsímil</v>
      </c>
      <c r="K3645" s="3" t="s">
        <v>67</v>
      </c>
    </row>
    <row r="3646" spans="1:11" ht="42" customHeight="1">
      <c r="A3646" s="2" t="s">
        <v>8958</v>
      </c>
      <c r="B3646" s="2" t="s">
        <v>8958</v>
      </c>
      <c r="C3646" s="2" t="s">
        <v>246</v>
      </c>
      <c r="D3646" s="2" t="s">
        <v>18</v>
      </c>
      <c r="E3646" s="5">
        <v>-29309</v>
      </c>
      <c r="F3646" s="3" t="s">
        <v>476</v>
      </c>
      <c r="G3646" s="3" t="s">
        <v>239</v>
      </c>
      <c r="H3646" s="2" t="s">
        <v>65</v>
      </c>
      <c r="I3646" s="2" t="s">
        <v>8959</v>
      </c>
      <c r="J3646" s="3" t="str">
        <f>HYPERLINK("https://www.boe.es/gazeta/dias/1819/10/02/pdfs/GMD-1819-121.pdf#page=1","Abrir facsímil")</f>
        <v>Abrir facsímil</v>
      </c>
      <c r="K3646" s="3" t="s">
        <v>67</v>
      </c>
    </row>
    <row r="3647" spans="1:11" ht="42" customHeight="1">
      <c r="A3647" s="2" t="s">
        <v>8960</v>
      </c>
      <c r="B3647" s="2" t="s">
        <v>8960</v>
      </c>
      <c r="C3647" s="2" t="s">
        <v>63</v>
      </c>
      <c r="D3647" s="2" t="s">
        <v>43</v>
      </c>
      <c r="E3647" s="5">
        <v>-29288</v>
      </c>
      <c r="F3647" s="3" t="s">
        <v>334</v>
      </c>
      <c r="G3647" s="3" t="s">
        <v>239</v>
      </c>
      <c r="H3647" s="2" t="s">
        <v>65</v>
      </c>
      <c r="I3647" s="2" t="s">
        <v>8961</v>
      </c>
      <c r="J3647" s="3" t="str">
        <f>HYPERLINK("https://www.boe.es/gazeta/dias/1819/10/23/pdfs/GMD-1819-130.pdf#page=1","Abrir facsímil")</f>
        <v>Abrir facsímil</v>
      </c>
      <c r="K3647" s="3" t="s">
        <v>67</v>
      </c>
    </row>
    <row r="3648" spans="1:11" ht="42" customHeight="1">
      <c r="A3648" s="2" t="s">
        <v>8962</v>
      </c>
      <c r="B3648" s="2" t="s">
        <v>8962</v>
      </c>
      <c r="C3648" s="2" t="s">
        <v>59</v>
      </c>
      <c r="D3648" s="2" t="s">
        <v>18</v>
      </c>
      <c r="E3648" s="5">
        <v>-29474</v>
      </c>
      <c r="F3648" s="3" t="s">
        <v>216</v>
      </c>
      <c r="G3648" s="3" t="s">
        <v>239</v>
      </c>
      <c r="H3648" s="2" t="s">
        <v>65</v>
      </c>
      <c r="I3648" s="2" t="s">
        <v>8963</v>
      </c>
      <c r="J3648" s="3" t="str">
        <f>HYPERLINK("https://www.boe.es/gazeta/dias/1819/04/20/pdfs/GMD-1819-47.pdf#page=1","Abrir facsímil")</f>
        <v>Abrir facsímil</v>
      </c>
      <c r="K3648" s="3" t="s">
        <v>67</v>
      </c>
    </row>
    <row r="3649" spans="1:11" ht="42" customHeight="1">
      <c r="A3649" s="2" t="s">
        <v>8964</v>
      </c>
      <c r="B3649" s="2" t="s">
        <v>8964</v>
      </c>
      <c r="C3649" s="2" t="s">
        <v>80</v>
      </c>
      <c r="D3649" s="2" t="s">
        <v>81</v>
      </c>
      <c r="E3649" s="5">
        <v>-29488</v>
      </c>
      <c r="F3649" s="3" t="s">
        <v>27</v>
      </c>
      <c r="G3649" s="3" t="s">
        <v>102</v>
      </c>
      <c r="H3649" s="2" t="s">
        <v>65</v>
      </c>
      <c r="I3649" s="2" t="s">
        <v>8965</v>
      </c>
      <c r="J3649" s="3" t="str">
        <f>HYPERLINK("https://www.boe.es/gazeta/dias/1819/04/06/pdfs/GMD-1819-41.pdf#page=3","Abrir facsímil")</f>
        <v>Abrir facsímil</v>
      </c>
      <c r="K3649" s="3" t="s">
        <v>67</v>
      </c>
    </row>
    <row r="3650" spans="1:11" ht="42" customHeight="1">
      <c r="A3650" s="2" t="s">
        <v>8966</v>
      </c>
      <c r="B3650" s="2" t="s">
        <v>8967</v>
      </c>
      <c r="C3650" s="2" t="s">
        <v>59</v>
      </c>
      <c r="D3650" s="2" t="s">
        <v>18</v>
      </c>
      <c r="E3650" s="5">
        <v>-29369</v>
      </c>
      <c r="F3650" s="3" t="s">
        <v>231</v>
      </c>
      <c r="G3650" s="3" t="s">
        <v>28</v>
      </c>
      <c r="H3650" s="2" t="s">
        <v>65</v>
      </c>
      <c r="I3650" s="2" t="s">
        <v>8968</v>
      </c>
      <c r="J3650" s="3" t="str">
        <f>HYPERLINK("https://www.boe.es/gazeta/dias/1819/08/03/pdfs/GMD-1819-93.pdf#page=8","Abrir facsímil")</f>
        <v>Abrir facsímil</v>
      </c>
      <c r="K3650" s="3" t="s">
        <v>67</v>
      </c>
    </row>
    <row r="3651" spans="1:11" ht="42" customHeight="1">
      <c r="A3651" s="2" t="s">
        <v>8969</v>
      </c>
      <c r="B3651" s="2" t="s">
        <v>8970</v>
      </c>
      <c r="C3651" s="2" t="s">
        <v>26</v>
      </c>
      <c r="D3651" s="2" t="s">
        <v>18</v>
      </c>
      <c r="E3651" s="5">
        <v>-29346</v>
      </c>
      <c r="F3651" s="3" t="s">
        <v>718</v>
      </c>
      <c r="G3651" s="3" t="s">
        <v>296</v>
      </c>
      <c r="H3651" s="2" t="s">
        <v>65</v>
      </c>
      <c r="I3651" s="2" t="s">
        <v>8971</v>
      </c>
      <c r="J3651" s="3" t="str">
        <f>HYPERLINK("https://www.boe.es/gazeta/dias/1819/08/26/pdfs/GMD-1819-103.pdf#page=4","Abrir facsímil")</f>
        <v>Abrir facsímil</v>
      </c>
      <c r="K3651" s="3" t="s">
        <v>67</v>
      </c>
    </row>
    <row r="3652" spans="1:11" ht="42" customHeight="1">
      <c r="A3652" s="2" t="s">
        <v>8972</v>
      </c>
      <c r="B3652" s="2" t="s">
        <v>8973</v>
      </c>
      <c r="C3652" s="2" t="s">
        <v>63</v>
      </c>
      <c r="D3652" s="2" t="s">
        <v>43</v>
      </c>
      <c r="E3652" s="5">
        <v>-29530</v>
      </c>
      <c r="F3652" s="3" t="s">
        <v>202</v>
      </c>
      <c r="G3652" s="3" t="s">
        <v>20</v>
      </c>
      <c r="H3652" s="2" t="s">
        <v>65</v>
      </c>
      <c r="I3652" s="2" t="s">
        <v>8974</v>
      </c>
      <c r="J3652" s="3" t="str">
        <f>HYPERLINK("https://www.boe.es/gazeta/dias/1819/02/23/pdfs/GMD-1819-23.pdf#page=10","Abrir facsímil")</f>
        <v>Abrir facsímil</v>
      </c>
      <c r="K3652" s="3" t="s">
        <v>67</v>
      </c>
    </row>
    <row r="3653" spans="1:11" ht="42" customHeight="1">
      <c r="A3653" s="2" t="s">
        <v>8975</v>
      </c>
      <c r="B3653" s="2" t="s">
        <v>8976</v>
      </c>
      <c r="C3653" s="2" t="s">
        <v>80</v>
      </c>
      <c r="D3653" s="2" t="s">
        <v>81</v>
      </c>
      <c r="E3653" s="5">
        <v>-29579</v>
      </c>
      <c r="F3653" s="3" t="s">
        <v>186</v>
      </c>
      <c r="G3653" s="3" t="s">
        <v>33</v>
      </c>
      <c r="H3653" s="2" t="s">
        <v>65</v>
      </c>
      <c r="I3653" s="2" t="s">
        <v>8977</v>
      </c>
      <c r="J3653" s="3" t="str">
        <f>HYPERLINK("https://www.boe.es/gazeta/dias/1819/01/05/pdfs/GMD-1819-2.pdf#page=6","Abrir facsímil")</f>
        <v>Abrir facsímil</v>
      </c>
      <c r="K3653" s="3" t="s">
        <v>67</v>
      </c>
    </row>
    <row r="3654" spans="1:11" ht="42" customHeight="1">
      <c r="A3654" s="2" t="s">
        <v>8978</v>
      </c>
      <c r="B3654" s="2" t="s">
        <v>8979</v>
      </c>
      <c r="C3654" s="2" t="s">
        <v>59</v>
      </c>
      <c r="D3654" s="2" t="s">
        <v>18</v>
      </c>
      <c r="E3654" s="5">
        <v>-29285</v>
      </c>
      <c r="F3654" s="3" t="s">
        <v>578</v>
      </c>
      <c r="G3654" s="3" t="s">
        <v>28</v>
      </c>
      <c r="H3654" s="2" t="s">
        <v>65</v>
      </c>
      <c r="I3654" s="2" t="s">
        <v>8980</v>
      </c>
      <c r="J3654" s="3" t="str">
        <f>HYPERLINK("https://www.boe.es/gazeta/dias/1819/10/26/pdfs/GMD-1819-132.pdf#page=8","Abrir facsímil")</f>
        <v>Abrir facsímil</v>
      </c>
      <c r="K3654" s="3" t="s">
        <v>67</v>
      </c>
    </row>
    <row r="3655" spans="1:11" ht="42" customHeight="1">
      <c r="A3655" s="2" t="s">
        <v>8981</v>
      </c>
      <c r="B3655" s="2" t="s">
        <v>8981</v>
      </c>
      <c r="C3655" s="2" t="s">
        <v>80</v>
      </c>
      <c r="D3655" s="2" t="s">
        <v>81</v>
      </c>
      <c r="E3655" s="5">
        <v>-29502</v>
      </c>
      <c r="F3655" s="3" t="s">
        <v>86</v>
      </c>
      <c r="G3655" s="3" t="s">
        <v>102</v>
      </c>
      <c r="H3655" s="2" t="s">
        <v>65</v>
      </c>
      <c r="I3655" s="2" t="s">
        <v>8982</v>
      </c>
      <c r="J3655" s="3" t="str">
        <f>HYPERLINK("https://www.boe.es/gazeta/dias/1819/03/23/pdfs/GMD-1819-35.pdf#page=3","Abrir facsímil")</f>
        <v>Abrir facsímil</v>
      </c>
      <c r="K3655" s="3" t="s">
        <v>67</v>
      </c>
    </row>
    <row r="3656" spans="1:11" ht="42" customHeight="1">
      <c r="A3656" s="2" t="s">
        <v>8981</v>
      </c>
      <c r="B3656" s="2" t="s">
        <v>8981</v>
      </c>
      <c r="C3656" s="2" t="s">
        <v>26</v>
      </c>
      <c r="D3656" s="2" t="s">
        <v>18</v>
      </c>
      <c r="E3656" s="5">
        <v>-29486</v>
      </c>
      <c r="F3656" s="3" t="s">
        <v>330</v>
      </c>
      <c r="G3656" s="3" t="s">
        <v>102</v>
      </c>
      <c r="H3656" s="2" t="s">
        <v>65</v>
      </c>
      <c r="I3656" s="2" t="s">
        <v>8983</v>
      </c>
      <c r="J3656" s="3" t="str">
        <f>HYPERLINK("https://www.boe.es/gazeta/dias/1819/04/08/pdfs/GMD-1819-42.pdf#page=3","Abrir facsímil")</f>
        <v>Abrir facsímil</v>
      </c>
      <c r="K3656" s="3" t="s">
        <v>67</v>
      </c>
    </row>
    <row r="3657" spans="1:11" ht="42" customHeight="1">
      <c r="A3657" s="2" t="s">
        <v>8981</v>
      </c>
      <c r="B3657" s="2" t="s">
        <v>8981</v>
      </c>
      <c r="C3657" s="2" t="s">
        <v>80</v>
      </c>
      <c r="D3657" s="2" t="s">
        <v>81</v>
      </c>
      <c r="E3657" s="5">
        <v>-29463</v>
      </c>
      <c r="F3657" s="3" t="s">
        <v>114</v>
      </c>
      <c r="G3657" s="3" t="s">
        <v>296</v>
      </c>
      <c r="H3657" s="2" t="s">
        <v>65</v>
      </c>
      <c r="I3657" s="2" t="s">
        <v>8984</v>
      </c>
      <c r="J3657" s="3" t="str">
        <f>HYPERLINK("https://www.boe.es/gazeta/dias/1819/05/01/pdfs/GMD-1819-52.pdf#page=4","Abrir facsímil")</f>
        <v>Abrir facsímil</v>
      </c>
      <c r="K3657" s="3" t="s">
        <v>67</v>
      </c>
    </row>
    <row r="3658" spans="1:11" ht="42" customHeight="1">
      <c r="A3658" s="2" t="s">
        <v>8985</v>
      </c>
      <c r="B3658" s="2" t="s">
        <v>8985</v>
      </c>
      <c r="C3658" s="2" t="s">
        <v>80</v>
      </c>
      <c r="D3658" s="2" t="s">
        <v>81</v>
      </c>
      <c r="E3658" s="5">
        <v>-29409</v>
      </c>
      <c r="F3658" s="3" t="s">
        <v>106</v>
      </c>
      <c r="G3658" s="3" t="s">
        <v>102</v>
      </c>
      <c r="H3658" s="2" t="s">
        <v>65</v>
      </c>
      <c r="I3658" s="2" t="s">
        <v>8986</v>
      </c>
      <c r="J3658" s="3" t="str">
        <f>HYPERLINK("https://www.boe.es/gazeta/dias/1819/06/24/pdfs/GMD-1819-76.pdf#page=3","Abrir facsímil")</f>
        <v>Abrir facsímil</v>
      </c>
      <c r="K3658" s="3" t="s">
        <v>67</v>
      </c>
    </row>
    <row r="3659" spans="1:11" ht="42" customHeight="1">
      <c r="A3659" s="2" t="s">
        <v>8985</v>
      </c>
      <c r="B3659" s="2" t="s">
        <v>8985</v>
      </c>
      <c r="C3659" s="2" t="s">
        <v>80</v>
      </c>
      <c r="D3659" s="2" t="s">
        <v>81</v>
      </c>
      <c r="E3659" s="5">
        <v>-29404</v>
      </c>
      <c r="F3659" s="3" t="s">
        <v>1939</v>
      </c>
      <c r="G3659" s="3" t="s">
        <v>239</v>
      </c>
      <c r="H3659" s="2" t="s">
        <v>65</v>
      </c>
      <c r="I3659" s="2" t="s">
        <v>8987</v>
      </c>
      <c r="J3659" s="3" t="str">
        <f>HYPERLINK("https://www.boe.es/gazeta/dias/1819/06/29/pdfs/GMD-1819-78.pdf#page=1","Abrir facsímil")</f>
        <v>Abrir facsímil</v>
      </c>
      <c r="K3659" s="3" t="s">
        <v>67</v>
      </c>
    </row>
    <row r="3660" spans="1:11" ht="42" customHeight="1">
      <c r="A3660" s="2" t="s">
        <v>8988</v>
      </c>
      <c r="B3660" s="2" t="s">
        <v>8989</v>
      </c>
      <c r="C3660" s="2" t="s">
        <v>80</v>
      </c>
      <c r="D3660" s="2" t="s">
        <v>81</v>
      </c>
      <c r="E3660" s="5">
        <v>-29575</v>
      </c>
      <c r="F3660" s="3" t="s">
        <v>77</v>
      </c>
      <c r="G3660" s="3" t="s">
        <v>38</v>
      </c>
      <c r="H3660" s="2" t="s">
        <v>65</v>
      </c>
      <c r="I3660" s="2" t="s">
        <v>8990</v>
      </c>
      <c r="J3660" s="3" t="str">
        <f>HYPERLINK("https://www.boe.es/gazeta/dias/1819/01/09/pdfs/GMD-1819-4.pdf#page=5","Abrir facsímil")</f>
        <v>Abrir facsímil</v>
      </c>
      <c r="K3660" s="3" t="s">
        <v>67</v>
      </c>
    </row>
    <row r="3661" spans="1:11" ht="42" customHeight="1">
      <c r="A3661" s="2" t="s">
        <v>8991</v>
      </c>
      <c r="B3661" s="2" t="s">
        <v>8991</v>
      </c>
      <c r="C3661" s="2" t="s">
        <v>26</v>
      </c>
      <c r="D3661" s="2" t="s">
        <v>18</v>
      </c>
      <c r="E3661" s="5">
        <v>-29386</v>
      </c>
      <c r="F3661" s="3" t="s">
        <v>568</v>
      </c>
      <c r="G3661" s="3" t="s">
        <v>296</v>
      </c>
      <c r="H3661" s="2" t="s">
        <v>65</v>
      </c>
      <c r="I3661" s="2" t="s">
        <v>8992</v>
      </c>
      <c r="J3661" s="3" t="str">
        <f>HYPERLINK("https://www.boe.es/gazeta/dias/1819/07/17/pdfs/GMD-1819-86.pdf#page=4","Abrir facsímil")</f>
        <v>Abrir facsímil</v>
      </c>
      <c r="K3661" s="3" t="s">
        <v>67</v>
      </c>
    </row>
    <row r="3662" spans="1:11" ht="42" customHeight="1">
      <c r="A3662" s="2" t="s">
        <v>8993</v>
      </c>
      <c r="B3662" s="2" t="s">
        <v>8993</v>
      </c>
      <c r="C3662" s="2" t="s">
        <v>80</v>
      </c>
      <c r="D3662" s="2" t="s">
        <v>81</v>
      </c>
      <c r="E3662" s="5">
        <v>-29386</v>
      </c>
      <c r="F3662" s="3" t="s">
        <v>568</v>
      </c>
      <c r="G3662" s="3" t="s">
        <v>296</v>
      </c>
      <c r="H3662" s="2" t="s">
        <v>65</v>
      </c>
      <c r="I3662" s="2" t="s">
        <v>8994</v>
      </c>
      <c r="J3662" s="3" t="str">
        <f>HYPERLINK("https://www.boe.es/gazeta/dias/1819/07/17/pdfs/GMD-1819-86.pdf#page=4","Abrir facsímil")</f>
        <v>Abrir facsímil</v>
      </c>
      <c r="K3662" s="3" t="s">
        <v>67</v>
      </c>
    </row>
    <row r="3663" spans="1:11" ht="42" customHeight="1">
      <c r="A3663" s="2" t="s">
        <v>8995</v>
      </c>
      <c r="B3663" s="2" t="s">
        <v>8996</v>
      </c>
      <c r="C3663" s="2" t="s">
        <v>80</v>
      </c>
      <c r="D3663" s="2" t="s">
        <v>454</v>
      </c>
      <c r="E3663" s="5">
        <v>-29287</v>
      </c>
      <c r="F3663" s="3" t="s">
        <v>455</v>
      </c>
      <c r="G3663" s="3" t="s">
        <v>1113</v>
      </c>
      <c r="H3663" s="2" t="s">
        <v>65</v>
      </c>
      <c r="I3663" s="2" t="s">
        <v>8997</v>
      </c>
      <c r="J3663" s="3" t="str">
        <f>HYPERLINK("https://www.boe.es/gazeta/dias/1819/10/24/pdfs/GMD-1819-131E.pdf#page=7","Abrir facsímil")</f>
        <v>Abrir facsímil</v>
      </c>
      <c r="K3663" s="3" t="s">
        <v>67</v>
      </c>
    </row>
    <row r="3664" spans="1:11" ht="42" customHeight="1">
      <c r="A3664" s="2" t="s">
        <v>8998</v>
      </c>
      <c r="B3664" s="2" t="s">
        <v>8999</v>
      </c>
      <c r="C3664" s="2" t="s">
        <v>17</v>
      </c>
      <c r="D3664" s="2" t="s">
        <v>18</v>
      </c>
      <c r="E3664" s="5">
        <v>-29309</v>
      </c>
      <c r="F3664" s="3" t="s">
        <v>476</v>
      </c>
      <c r="G3664" s="3" t="s">
        <v>692</v>
      </c>
      <c r="H3664" s="2" t="s">
        <v>65</v>
      </c>
      <c r="I3664" s="2" t="s">
        <v>9000</v>
      </c>
      <c r="J3664" s="3" t="str">
        <f>HYPERLINK("https://www.boe.es/gazeta/dias/1819/10/02/pdfs/GMD-1819-121.pdf#page=8","Abrir facsímil")</f>
        <v>Abrir facsímil</v>
      </c>
      <c r="K3664" s="3" t="s">
        <v>67</v>
      </c>
    </row>
    <row r="3665" spans="1:11" ht="42" customHeight="1">
      <c r="A3665" s="2" t="s">
        <v>9001</v>
      </c>
      <c r="B3665" s="2" t="s">
        <v>9002</v>
      </c>
      <c r="C3665" s="2" t="s">
        <v>80</v>
      </c>
      <c r="D3665" s="2" t="s">
        <v>81</v>
      </c>
      <c r="E3665" s="5">
        <v>-29556</v>
      </c>
      <c r="F3665" s="3" t="s">
        <v>255</v>
      </c>
      <c r="G3665" s="3" t="s">
        <v>55</v>
      </c>
      <c r="H3665" s="2" t="s">
        <v>65</v>
      </c>
      <c r="I3665" s="2" t="s">
        <v>9003</v>
      </c>
      <c r="J3665" s="3" t="str">
        <f>HYPERLINK("https://www.boe.es/gazeta/dias/1819/01/28/pdfs/GMD-1819-12.pdf#page=7","Abrir facsímil")</f>
        <v>Abrir facsímil</v>
      </c>
      <c r="K3665" s="3" t="s">
        <v>67</v>
      </c>
    </row>
    <row r="3666" spans="1:11" ht="42" customHeight="1">
      <c r="A3666" s="2" t="s">
        <v>9004</v>
      </c>
      <c r="B3666" s="2" t="s">
        <v>9004</v>
      </c>
      <c r="C3666" s="2" t="s">
        <v>63</v>
      </c>
      <c r="D3666" s="2" t="s">
        <v>43</v>
      </c>
      <c r="E3666" s="5">
        <v>-29554</v>
      </c>
      <c r="F3666" s="3" t="s">
        <v>150</v>
      </c>
      <c r="G3666" s="3" t="s">
        <v>259</v>
      </c>
      <c r="H3666" s="2" t="s">
        <v>65</v>
      </c>
      <c r="I3666" s="2" t="s">
        <v>9005</v>
      </c>
      <c r="J3666" s="3" t="str">
        <f>HYPERLINK("https://www.boe.es/gazeta/dias/1819/01/30/pdfs/GMD-1819-13.pdf#page=2","Abrir facsímil")</f>
        <v>Abrir facsímil</v>
      </c>
      <c r="K3666" s="3" t="s">
        <v>67</v>
      </c>
    </row>
    <row r="3667" spans="1:11" ht="42" customHeight="1">
      <c r="A3667" s="2" t="s">
        <v>9006</v>
      </c>
      <c r="B3667" s="2" t="s">
        <v>9007</v>
      </c>
      <c r="C3667" s="2" t="s">
        <v>59</v>
      </c>
      <c r="D3667" s="2" t="s">
        <v>18</v>
      </c>
      <c r="E3667" s="5">
        <v>-29509</v>
      </c>
      <c r="F3667" s="3" t="s">
        <v>942</v>
      </c>
      <c r="G3667" s="3" t="s">
        <v>259</v>
      </c>
      <c r="H3667" s="2" t="s">
        <v>65</v>
      </c>
      <c r="I3667" s="2" t="s">
        <v>9008</v>
      </c>
      <c r="J3667" s="3" t="str">
        <f>HYPERLINK("https://www.boe.es/gazeta/dias/1819/03/16/pdfs/GMD-1819-32.pdf#page=2","Abrir facsímil")</f>
        <v>Abrir facsímil</v>
      </c>
      <c r="K3667" s="3" t="s">
        <v>67</v>
      </c>
    </row>
    <row r="3668" spans="1:11" ht="42" customHeight="1">
      <c r="A3668" s="2" t="s">
        <v>9009</v>
      </c>
      <c r="B3668" s="2" t="s">
        <v>9010</v>
      </c>
      <c r="C3668" s="2" t="s">
        <v>63</v>
      </c>
      <c r="D3668" s="2" t="s">
        <v>43</v>
      </c>
      <c r="E3668" s="5">
        <v>-29337</v>
      </c>
      <c r="F3668" s="3" t="s">
        <v>1098</v>
      </c>
      <c r="G3668" s="3" t="s">
        <v>102</v>
      </c>
      <c r="H3668" s="2" t="s">
        <v>65</v>
      </c>
      <c r="I3668" s="2" t="s">
        <v>9011</v>
      </c>
      <c r="J3668" s="3" t="str">
        <f>HYPERLINK("https://www.boe.es/gazeta/dias/1819/09/04/pdfs/GMD-1819-108.pdf#page=3","Abrir facsímil")</f>
        <v>Abrir facsímil</v>
      </c>
      <c r="K3668" s="3" t="s">
        <v>67</v>
      </c>
    </row>
    <row r="3669" spans="1:11" ht="42" customHeight="1">
      <c r="A3669" s="2" t="s">
        <v>9012</v>
      </c>
      <c r="B3669" s="2" t="s">
        <v>9013</v>
      </c>
      <c r="C3669" s="2" t="s">
        <v>80</v>
      </c>
      <c r="D3669" s="2" t="s">
        <v>81</v>
      </c>
      <c r="E3669" s="5">
        <v>-29570</v>
      </c>
      <c r="F3669" s="3" t="s">
        <v>2008</v>
      </c>
      <c r="G3669" s="3" t="s">
        <v>239</v>
      </c>
      <c r="H3669" s="2" t="s">
        <v>65</v>
      </c>
      <c r="I3669" s="2" t="s">
        <v>9014</v>
      </c>
      <c r="J3669" s="3" t="str">
        <f>HYPERLINK("https://www.boe.es/gazeta/dias/1819/01/14/pdfs/GMD-1819-6.pdf#page=1","Abrir facsímil")</f>
        <v>Abrir facsímil</v>
      </c>
      <c r="K3669" s="3" t="s">
        <v>67</v>
      </c>
    </row>
    <row r="3670" spans="1:11" ht="42" customHeight="1">
      <c r="A3670" s="2" t="s">
        <v>9015</v>
      </c>
      <c r="B3670" s="2" t="s">
        <v>9016</v>
      </c>
      <c r="C3670" s="2" t="s">
        <v>59</v>
      </c>
      <c r="D3670" s="2" t="s">
        <v>18</v>
      </c>
      <c r="E3670" s="5">
        <v>-29241</v>
      </c>
      <c r="F3670" s="3" t="s">
        <v>1382</v>
      </c>
      <c r="G3670" s="3" t="s">
        <v>33</v>
      </c>
      <c r="H3670" s="2" t="s">
        <v>21</v>
      </c>
      <c r="I3670" s="2" t="s">
        <v>9017</v>
      </c>
      <c r="J3670" s="3" t="str">
        <f>HYPERLINK("https://www.boe.es/gazeta/dias/1819/12/09/pdfs/GMD-1819-151.pdf#page=6","Abrir facsímil")</f>
        <v>Abrir facsímil</v>
      </c>
      <c r="K3670" s="3" t="s">
        <v>23</v>
      </c>
    </row>
    <row r="3671" spans="1:11" ht="42" customHeight="1">
      <c r="A3671" s="2" t="s">
        <v>9018</v>
      </c>
      <c r="B3671" s="2" t="s">
        <v>9019</v>
      </c>
      <c r="C3671" s="2" t="s">
        <v>17</v>
      </c>
      <c r="D3671" s="2" t="s">
        <v>18</v>
      </c>
      <c r="E3671" s="5">
        <v>-29253</v>
      </c>
      <c r="F3671" s="3" t="s">
        <v>242</v>
      </c>
      <c r="G3671" s="3" t="s">
        <v>33</v>
      </c>
      <c r="H3671" s="2" t="s">
        <v>21</v>
      </c>
      <c r="I3671" s="2" t="s">
        <v>9020</v>
      </c>
      <c r="J3671" s="3" t="str">
        <f>HYPERLINK("https://www.boe.es/gazeta/dias/1819/11/27/pdfs/GMD-1819-146.pdf#page=6","Abrir facsímil")</f>
        <v>Abrir facsímil</v>
      </c>
      <c r="K3671" s="3" t="s">
        <v>23</v>
      </c>
    </row>
    <row r="3672" spans="1:11" ht="42" customHeight="1">
      <c r="A3672" s="2" t="s">
        <v>9021</v>
      </c>
      <c r="B3672" s="2" t="s">
        <v>9022</v>
      </c>
      <c r="C3672" s="2" t="s">
        <v>17</v>
      </c>
      <c r="D3672" s="2" t="s">
        <v>18</v>
      </c>
      <c r="E3672" s="5">
        <v>-29271</v>
      </c>
      <c r="F3672" s="3" t="s">
        <v>32</v>
      </c>
      <c r="G3672" s="3" t="s">
        <v>33</v>
      </c>
      <c r="H3672" s="2" t="s">
        <v>21</v>
      </c>
      <c r="I3672" s="2" t="s">
        <v>9023</v>
      </c>
      <c r="J3672" s="3" t="str">
        <f>HYPERLINK("https://www.boe.es/gazeta/dias/1819/11/09/pdfs/GMD-1819-138.pdf#page=6","Abrir facsímil")</f>
        <v>Abrir facsímil</v>
      </c>
      <c r="K3672" s="3" t="s">
        <v>23</v>
      </c>
    </row>
    <row r="3673" spans="1:11" ht="42" customHeight="1">
      <c r="A3673" s="2" t="s">
        <v>9024</v>
      </c>
      <c r="B3673" s="2" t="s">
        <v>9025</v>
      </c>
      <c r="C3673" s="2" t="s">
        <v>17</v>
      </c>
      <c r="D3673" s="2" t="s">
        <v>18</v>
      </c>
      <c r="E3673" s="5">
        <v>-29271</v>
      </c>
      <c r="F3673" s="3" t="s">
        <v>32</v>
      </c>
      <c r="G3673" s="3" t="s">
        <v>33</v>
      </c>
      <c r="H3673" s="2" t="s">
        <v>21</v>
      </c>
      <c r="I3673" s="2" t="s">
        <v>9026</v>
      </c>
      <c r="J3673" s="3" t="str">
        <f>HYPERLINK("https://www.boe.es/gazeta/dias/1819/11/09/pdfs/GMD-1819-138.pdf#page=6","Abrir facsímil")</f>
        <v>Abrir facsímil</v>
      </c>
      <c r="K3673" s="3" t="s">
        <v>23</v>
      </c>
    </row>
    <row r="3674" spans="1:11" ht="42" customHeight="1">
      <c r="A3674" s="2" t="s">
        <v>9027</v>
      </c>
      <c r="B3674" s="2" t="s">
        <v>9028</v>
      </c>
      <c r="C3674" s="2" t="s">
        <v>80</v>
      </c>
      <c r="D3674" s="2" t="s">
        <v>81</v>
      </c>
      <c r="E3674" s="5">
        <v>-29276</v>
      </c>
      <c r="F3674" s="3" t="s">
        <v>54</v>
      </c>
      <c r="G3674" s="3" t="s">
        <v>55</v>
      </c>
      <c r="H3674" s="2" t="s">
        <v>21</v>
      </c>
      <c r="I3674" s="2" t="s">
        <v>9029</v>
      </c>
      <c r="J3674" s="3" t="str">
        <f>HYPERLINK("https://www.boe.es/gazeta/dias/1819/11/04/pdfs/GMD-1819-136.pdf#page=7","Abrir facsímil")</f>
        <v>Abrir facsímil</v>
      </c>
      <c r="K3674" s="3" t="s">
        <v>23</v>
      </c>
    </row>
    <row r="3675" spans="1:11" ht="42" customHeight="1">
      <c r="A3675" s="2" t="s">
        <v>9030</v>
      </c>
      <c r="B3675" s="2" t="s">
        <v>9031</v>
      </c>
      <c r="C3675" s="2" t="s">
        <v>59</v>
      </c>
      <c r="D3675" s="2" t="s">
        <v>18</v>
      </c>
      <c r="E3675" s="5">
        <v>-29276</v>
      </c>
      <c r="F3675" s="3" t="s">
        <v>54</v>
      </c>
      <c r="G3675" s="3" t="s">
        <v>55</v>
      </c>
      <c r="H3675" s="2" t="s">
        <v>21</v>
      </c>
      <c r="I3675" s="2" t="s">
        <v>9032</v>
      </c>
      <c r="J3675" s="3" t="str">
        <f>HYPERLINK("https://www.boe.es/gazeta/dias/1819/11/04/pdfs/GMD-1819-136.pdf#page=7","Abrir facsímil")</f>
        <v>Abrir facsímil</v>
      </c>
      <c r="K3675" s="3" t="s">
        <v>23</v>
      </c>
    </row>
    <row r="3676" spans="1:11" ht="42" customHeight="1">
      <c r="A3676" s="2" t="s">
        <v>9033</v>
      </c>
      <c r="B3676" s="2" t="s">
        <v>9034</v>
      </c>
      <c r="C3676" s="2" t="s">
        <v>80</v>
      </c>
      <c r="D3676" s="2" t="s">
        <v>81</v>
      </c>
      <c r="E3676" s="5">
        <v>-29386</v>
      </c>
      <c r="F3676" s="3" t="s">
        <v>568</v>
      </c>
      <c r="G3676" s="3" t="s">
        <v>38</v>
      </c>
      <c r="H3676" s="2" t="s">
        <v>21</v>
      </c>
      <c r="I3676" s="2" t="s">
        <v>9035</v>
      </c>
      <c r="J3676" s="3" t="str">
        <f>HYPERLINK("https://www.boe.es/gazeta/dias/1819/07/17/pdfs/GMD-1819-86.pdf#page=5","Abrir facsímil")</f>
        <v>Abrir facsímil</v>
      </c>
      <c r="K3676" s="3" t="s">
        <v>23</v>
      </c>
    </row>
    <row r="3677" spans="1:11" ht="42" customHeight="1">
      <c r="A3677" s="2" t="s">
        <v>9036</v>
      </c>
      <c r="B3677" s="2" t="s">
        <v>9037</v>
      </c>
      <c r="C3677" s="2" t="s">
        <v>80</v>
      </c>
      <c r="D3677" s="2" t="s">
        <v>81</v>
      </c>
      <c r="E3677" s="5">
        <v>-29556</v>
      </c>
      <c r="F3677" s="3" t="s">
        <v>255</v>
      </c>
      <c r="G3677" s="3" t="s">
        <v>55</v>
      </c>
      <c r="H3677" s="2" t="s">
        <v>65</v>
      </c>
      <c r="I3677" s="2" t="s">
        <v>9038</v>
      </c>
      <c r="J3677" s="3" t="str">
        <f>HYPERLINK("https://www.boe.es/gazeta/dias/1819/01/28/pdfs/GMD-1819-12.pdf#page=7","Abrir facsímil")</f>
        <v>Abrir facsímil</v>
      </c>
      <c r="K3677" s="3" t="s">
        <v>67</v>
      </c>
    </row>
    <row r="3678" spans="1:11" ht="42" customHeight="1">
      <c r="A3678" s="2" t="s">
        <v>9036</v>
      </c>
      <c r="B3678" s="2" t="s">
        <v>9037</v>
      </c>
      <c r="C3678" s="2" t="s">
        <v>80</v>
      </c>
      <c r="D3678" s="2" t="s">
        <v>81</v>
      </c>
      <c r="E3678" s="5">
        <v>-29264</v>
      </c>
      <c r="F3678" s="3" t="s">
        <v>37</v>
      </c>
      <c r="G3678" s="3" t="s">
        <v>1794</v>
      </c>
      <c r="H3678" s="2" t="s">
        <v>65</v>
      </c>
      <c r="I3678" s="2" t="s">
        <v>9039</v>
      </c>
      <c r="J3678" s="3" t="str">
        <f>HYPERLINK("https://www.boe.es/gazeta/dias/1819/11/16/pdfs/GMD-1819-141.pdf#page=11","Abrir facsímil")</f>
        <v>Abrir facsímil</v>
      </c>
      <c r="K3678" s="3" t="s">
        <v>67</v>
      </c>
    </row>
    <row r="3679" spans="1:11" ht="42" customHeight="1">
      <c r="A3679" s="2" t="s">
        <v>9040</v>
      </c>
      <c r="B3679" s="2" t="s">
        <v>9040</v>
      </c>
      <c r="C3679" s="2" t="s">
        <v>80</v>
      </c>
      <c r="D3679" s="2" t="s">
        <v>81</v>
      </c>
      <c r="E3679" s="5">
        <v>-29325</v>
      </c>
      <c r="F3679" s="3" t="s">
        <v>174</v>
      </c>
      <c r="G3679" s="3" t="s">
        <v>2480</v>
      </c>
      <c r="H3679" s="2" t="s">
        <v>65</v>
      </c>
      <c r="I3679" s="2" t="s">
        <v>9041</v>
      </c>
      <c r="J3679" s="3" t="str">
        <f>HYPERLINK("https://www.boe.es/gazeta/dias/1819/09/16/pdfs/GMD-1819-113.pdf#page=5","Abrir facsímil")</f>
        <v>Abrir facsímil</v>
      </c>
      <c r="K3679" s="3" t="s">
        <v>67</v>
      </c>
    </row>
    <row r="3680" spans="1:11" ht="42" customHeight="1">
      <c r="A3680" s="2" t="s">
        <v>9042</v>
      </c>
      <c r="B3680" s="2" t="s">
        <v>9042</v>
      </c>
      <c r="C3680" s="2" t="s">
        <v>17</v>
      </c>
      <c r="D3680" s="2" t="s">
        <v>18</v>
      </c>
      <c r="E3680" s="5">
        <v>-29271</v>
      </c>
      <c r="F3680" s="3" t="s">
        <v>32</v>
      </c>
      <c r="G3680" s="3" t="s">
        <v>33</v>
      </c>
      <c r="H3680" s="2" t="s">
        <v>65</v>
      </c>
      <c r="I3680" s="2" t="s">
        <v>9043</v>
      </c>
      <c r="J3680" s="3" t="str">
        <f>HYPERLINK("https://www.boe.es/gazeta/dias/1819/11/09/pdfs/GMD-1819-138.pdf#page=6","Abrir facsímil")</f>
        <v>Abrir facsímil</v>
      </c>
      <c r="K3680" s="3" t="s">
        <v>67</v>
      </c>
    </row>
    <row r="3681" spans="1:11" ht="42" customHeight="1">
      <c r="A3681" s="2" t="s">
        <v>9044</v>
      </c>
      <c r="B3681" s="2" t="s">
        <v>9044</v>
      </c>
      <c r="C3681" s="2" t="s">
        <v>80</v>
      </c>
      <c r="D3681" s="2" t="s">
        <v>81</v>
      </c>
      <c r="E3681" s="5">
        <v>-29554</v>
      </c>
      <c r="F3681" s="3" t="s">
        <v>150</v>
      </c>
      <c r="G3681" s="3" t="s">
        <v>38</v>
      </c>
      <c r="H3681" s="2" t="s">
        <v>65</v>
      </c>
      <c r="I3681" s="2" t="s">
        <v>9045</v>
      </c>
      <c r="J3681" s="3" t="str">
        <f>HYPERLINK("https://www.boe.es/gazeta/dias/1819/01/30/pdfs/GMD-1819-13.pdf#page=5","Abrir facsímil")</f>
        <v>Abrir facsímil</v>
      </c>
      <c r="K3681" s="3" t="s">
        <v>67</v>
      </c>
    </row>
    <row r="3682" spans="1:11" ht="42" customHeight="1">
      <c r="A3682" s="2" t="s">
        <v>9046</v>
      </c>
      <c r="B3682" s="2" t="s">
        <v>9047</v>
      </c>
      <c r="C3682" s="2" t="s">
        <v>80</v>
      </c>
      <c r="D3682" s="2" t="s">
        <v>81</v>
      </c>
      <c r="E3682" s="5">
        <v>-29472</v>
      </c>
      <c r="F3682" s="3" t="s">
        <v>393</v>
      </c>
      <c r="G3682" s="3" t="s">
        <v>33</v>
      </c>
      <c r="H3682" s="2" t="s">
        <v>21</v>
      </c>
      <c r="I3682" s="2" t="s">
        <v>9048</v>
      </c>
      <c r="J3682" s="3" t="str">
        <f>HYPERLINK("https://www.boe.es/gazeta/dias/1819/04/22/pdfs/GMD-1819-48.pdf#page=6","Abrir facsímil")</f>
        <v>Abrir facsímil</v>
      </c>
      <c r="K3682" s="3" t="s">
        <v>23</v>
      </c>
    </row>
    <row r="3683" spans="1:11" ht="42" customHeight="1">
      <c r="A3683" s="2" t="s">
        <v>9049</v>
      </c>
      <c r="B3683" s="2" t="s">
        <v>9050</v>
      </c>
      <c r="C3683" s="2" t="s">
        <v>80</v>
      </c>
      <c r="D3683" s="2" t="s">
        <v>81</v>
      </c>
      <c r="E3683" s="5">
        <v>-29442</v>
      </c>
      <c r="F3683" s="3" t="s">
        <v>427</v>
      </c>
      <c r="G3683" s="3" t="s">
        <v>33</v>
      </c>
      <c r="H3683" s="2" t="s">
        <v>65</v>
      </c>
      <c r="I3683" s="2" t="s">
        <v>9051</v>
      </c>
      <c r="J3683" s="3" t="str">
        <f>HYPERLINK("https://www.boe.es/gazeta/dias/1819/05/22/pdfs/GMD-1819-61.pdf#page=6","Abrir facsímil")</f>
        <v>Abrir facsímil</v>
      </c>
      <c r="K3683" s="3" t="s">
        <v>67</v>
      </c>
    </row>
    <row r="3684" spans="1:11" ht="42" customHeight="1">
      <c r="A3684" s="2" t="s">
        <v>9052</v>
      </c>
      <c r="B3684" s="2" t="s">
        <v>9053</v>
      </c>
      <c r="C3684" s="2" t="s">
        <v>59</v>
      </c>
      <c r="D3684" s="2" t="s">
        <v>18</v>
      </c>
      <c r="E3684" s="5">
        <v>-29236</v>
      </c>
      <c r="F3684" s="3" t="s">
        <v>379</v>
      </c>
      <c r="G3684" s="3" t="s">
        <v>55</v>
      </c>
      <c r="H3684" s="2" t="s">
        <v>65</v>
      </c>
      <c r="I3684" s="2" t="s">
        <v>9054</v>
      </c>
      <c r="J3684" s="3" t="str">
        <f>HYPERLINK("https://www.boe.es/gazeta/dias/1819/12/14/pdfs/GMD-1819-153.pdf#page=7","Abrir facsímil")</f>
        <v>Abrir facsímil</v>
      </c>
      <c r="K3684" s="3" t="s">
        <v>67</v>
      </c>
    </row>
    <row r="3685" spans="1:11" ht="42" customHeight="1">
      <c r="A3685" s="2" t="s">
        <v>9055</v>
      </c>
      <c r="B3685" s="2" t="s">
        <v>9056</v>
      </c>
      <c r="C3685" s="2" t="s">
        <v>59</v>
      </c>
      <c r="D3685" s="2" t="s">
        <v>18</v>
      </c>
      <c r="E3685" s="5">
        <v>-29316</v>
      </c>
      <c r="F3685" s="3" t="s">
        <v>166</v>
      </c>
      <c r="G3685" s="3" t="s">
        <v>33</v>
      </c>
      <c r="H3685" s="2" t="s">
        <v>65</v>
      </c>
      <c r="I3685" s="2" t="s">
        <v>9057</v>
      </c>
      <c r="J3685" s="3" t="str">
        <f>HYPERLINK("https://www.boe.es/gazeta/dias/1819/09/25/pdfs/GMD-1819-118.pdf#page=6","Abrir facsímil")</f>
        <v>Abrir facsímil</v>
      </c>
      <c r="K3685" s="3" t="s">
        <v>67</v>
      </c>
    </row>
    <row r="3686" spans="1:11" ht="42" customHeight="1">
      <c r="A3686" s="2" t="s">
        <v>9058</v>
      </c>
      <c r="B3686" s="2" t="s">
        <v>9059</v>
      </c>
      <c r="C3686" s="2" t="s">
        <v>59</v>
      </c>
      <c r="D3686" s="2" t="s">
        <v>18</v>
      </c>
      <c r="E3686" s="5">
        <v>-29453</v>
      </c>
      <c r="F3686" s="3" t="s">
        <v>768</v>
      </c>
      <c r="G3686" s="3" t="s">
        <v>38</v>
      </c>
      <c r="H3686" s="2" t="s">
        <v>65</v>
      </c>
      <c r="I3686" s="2" t="s">
        <v>9060</v>
      </c>
      <c r="J3686" s="3" t="str">
        <f>HYPERLINK("https://www.boe.es/gazeta/dias/1819/05/11/pdfs/GMD-1819-56.pdf#page=5","Abrir facsímil")</f>
        <v>Abrir facsímil</v>
      </c>
      <c r="K3686" s="3" t="s">
        <v>67</v>
      </c>
    </row>
    <row r="3687" spans="1:11" ht="42" customHeight="1">
      <c r="A3687" s="2" t="s">
        <v>9061</v>
      </c>
      <c r="B3687" s="2" t="s">
        <v>9062</v>
      </c>
      <c r="C3687" s="2" t="s">
        <v>63</v>
      </c>
      <c r="D3687" s="2" t="s">
        <v>43</v>
      </c>
      <c r="E3687" s="5">
        <v>-29428</v>
      </c>
      <c r="F3687" s="3" t="s">
        <v>730</v>
      </c>
      <c r="G3687" s="3" t="s">
        <v>55</v>
      </c>
      <c r="H3687" s="2" t="s">
        <v>65</v>
      </c>
      <c r="I3687" s="2" t="s">
        <v>9063</v>
      </c>
      <c r="J3687" s="3" t="str">
        <f>HYPERLINK("https://www.boe.es/gazeta/dias/1819/06/05/pdfs/GMD-1819-67.pdf#page=7","Abrir facsímil")</f>
        <v>Abrir facsímil</v>
      </c>
      <c r="K3687" s="3" t="s">
        <v>67</v>
      </c>
    </row>
    <row r="3688" spans="1:11" ht="42" customHeight="1">
      <c r="A3688" s="2" t="s">
        <v>9064</v>
      </c>
      <c r="B3688" s="2" t="s">
        <v>9065</v>
      </c>
      <c r="C3688" s="2" t="s">
        <v>246</v>
      </c>
      <c r="D3688" s="2" t="s">
        <v>18</v>
      </c>
      <c r="E3688" s="5">
        <v>-29425</v>
      </c>
      <c r="F3688" s="3" t="s">
        <v>110</v>
      </c>
      <c r="G3688" s="3" t="s">
        <v>28</v>
      </c>
      <c r="H3688" s="2" t="s">
        <v>65</v>
      </c>
      <c r="I3688" s="2" t="s">
        <v>9066</v>
      </c>
      <c r="J3688" s="3" t="str">
        <f>HYPERLINK("https://www.boe.es/gazeta/dias/1819/06/08/pdfs/GMD-1819-68.pdf#page=8","Abrir facsímil")</f>
        <v>Abrir facsímil</v>
      </c>
      <c r="K3688" s="3" t="s">
        <v>67</v>
      </c>
    </row>
    <row r="3689" spans="1:11" ht="42" customHeight="1">
      <c r="A3689" s="2" t="s">
        <v>9067</v>
      </c>
      <c r="B3689" s="2" t="s">
        <v>9068</v>
      </c>
      <c r="C3689" s="2" t="s">
        <v>59</v>
      </c>
      <c r="D3689" s="2" t="s">
        <v>18</v>
      </c>
      <c r="E3689" s="5">
        <v>-29327</v>
      </c>
      <c r="F3689" s="3" t="s">
        <v>620</v>
      </c>
      <c r="G3689" s="3" t="s">
        <v>28</v>
      </c>
      <c r="H3689" s="2" t="s">
        <v>65</v>
      </c>
      <c r="I3689" s="2" t="s">
        <v>9069</v>
      </c>
      <c r="J3689" s="3" t="str">
        <f>HYPERLINK("https://www.boe.es/gazeta/dias/1819/09/14/pdfs/GMD-1819-112.pdf#page=8","Abrir facsímil")</f>
        <v>Abrir facsímil</v>
      </c>
      <c r="K3689" s="3" t="s">
        <v>67</v>
      </c>
    </row>
    <row r="3690" spans="1:11" ht="42" customHeight="1">
      <c r="A3690" s="2" t="s">
        <v>9070</v>
      </c>
      <c r="B3690" s="2" t="s">
        <v>9071</v>
      </c>
      <c r="C3690" s="2" t="s">
        <v>59</v>
      </c>
      <c r="D3690" s="2" t="s">
        <v>18</v>
      </c>
      <c r="E3690" s="5">
        <v>-29295</v>
      </c>
      <c r="F3690" s="3" t="s">
        <v>390</v>
      </c>
      <c r="G3690" s="3" t="s">
        <v>28</v>
      </c>
      <c r="H3690" s="2" t="s">
        <v>65</v>
      </c>
      <c r="I3690" s="2" t="s">
        <v>9072</v>
      </c>
      <c r="J3690" s="3" t="str">
        <f>HYPERLINK("https://www.boe.es/gazeta/dias/1819/10/16/pdfs/GMD-1819-127.pdf#page=8","Abrir facsímil")</f>
        <v>Abrir facsímil</v>
      </c>
      <c r="K3690" s="3" t="s">
        <v>67</v>
      </c>
    </row>
    <row r="3691" spans="1:11" ht="42" customHeight="1">
      <c r="A3691" s="2" t="s">
        <v>9073</v>
      </c>
      <c r="B3691" s="2" t="s">
        <v>9074</v>
      </c>
      <c r="C3691" s="2" t="s">
        <v>59</v>
      </c>
      <c r="D3691" s="2" t="s">
        <v>18</v>
      </c>
      <c r="E3691" s="5">
        <v>-29295</v>
      </c>
      <c r="F3691" s="3" t="s">
        <v>390</v>
      </c>
      <c r="G3691" s="3" t="s">
        <v>28</v>
      </c>
      <c r="H3691" s="2" t="s">
        <v>65</v>
      </c>
      <c r="I3691" s="2" t="s">
        <v>9075</v>
      </c>
      <c r="J3691" s="3" t="str">
        <f>HYPERLINK("https://www.boe.es/gazeta/dias/1819/10/16/pdfs/GMD-1819-127.pdf#page=8","Abrir facsímil")</f>
        <v>Abrir facsímil</v>
      </c>
      <c r="K3691" s="3" t="s">
        <v>67</v>
      </c>
    </row>
    <row r="3692" spans="1:11" ht="42" customHeight="1">
      <c r="A3692" s="2" t="s">
        <v>9076</v>
      </c>
      <c r="B3692" s="2" t="s">
        <v>9077</v>
      </c>
      <c r="C3692" s="2" t="s">
        <v>59</v>
      </c>
      <c r="D3692" s="2" t="s">
        <v>18</v>
      </c>
      <c r="E3692" s="5">
        <v>-29292</v>
      </c>
      <c r="F3692" s="3" t="s">
        <v>875</v>
      </c>
      <c r="G3692" s="3" t="s">
        <v>28</v>
      </c>
      <c r="H3692" s="2" t="s">
        <v>65</v>
      </c>
      <c r="I3692" s="2" t="s">
        <v>9078</v>
      </c>
      <c r="J3692" s="3" t="str">
        <f>HYPERLINK("https://www.boe.es/gazeta/dias/1819/10/19/pdfs/GMD-1819-128.pdf#page=8","Abrir facsímil")</f>
        <v>Abrir facsímil</v>
      </c>
      <c r="K3692" s="3" t="s">
        <v>67</v>
      </c>
    </row>
    <row r="3693" spans="1:11" ht="42" customHeight="1">
      <c r="A3693" s="2" t="s">
        <v>9079</v>
      </c>
      <c r="B3693" s="2" t="s">
        <v>9080</v>
      </c>
      <c r="C3693" s="2" t="s">
        <v>59</v>
      </c>
      <c r="D3693" s="2" t="s">
        <v>18</v>
      </c>
      <c r="E3693" s="5">
        <v>-29530</v>
      </c>
      <c r="F3693" s="3" t="s">
        <v>202</v>
      </c>
      <c r="G3693" s="3" t="s">
        <v>20</v>
      </c>
      <c r="H3693" s="2" t="s">
        <v>65</v>
      </c>
      <c r="I3693" s="2" t="s">
        <v>9081</v>
      </c>
      <c r="J3693" s="3" t="str">
        <f>HYPERLINK("https://www.boe.es/gazeta/dias/1819/02/23/pdfs/GMD-1819-23.pdf#page=10","Abrir facsímil")</f>
        <v>Abrir facsímil</v>
      </c>
      <c r="K3693" s="3" t="s">
        <v>67</v>
      </c>
    </row>
    <row r="3694" spans="1:11" ht="42" customHeight="1">
      <c r="A3694" s="2" t="s">
        <v>9082</v>
      </c>
      <c r="B3694" s="2" t="s">
        <v>9083</v>
      </c>
      <c r="C3694" s="2" t="s">
        <v>59</v>
      </c>
      <c r="D3694" s="2" t="s">
        <v>18</v>
      </c>
      <c r="E3694" s="5">
        <v>-29369</v>
      </c>
      <c r="F3694" s="3" t="s">
        <v>231</v>
      </c>
      <c r="G3694" s="3" t="s">
        <v>33</v>
      </c>
      <c r="H3694" s="2" t="s">
        <v>65</v>
      </c>
      <c r="I3694" s="2" t="s">
        <v>9084</v>
      </c>
      <c r="J3694" s="3" t="str">
        <f>HYPERLINK("https://www.boe.es/gazeta/dias/1819/08/03/pdfs/GMD-1819-93.pdf#page=6","Abrir facsímil")</f>
        <v>Abrir facsímil</v>
      </c>
      <c r="K3694" s="3" t="s">
        <v>67</v>
      </c>
    </row>
    <row r="3695" spans="1:11" ht="42" customHeight="1">
      <c r="A3695" s="2" t="s">
        <v>9085</v>
      </c>
      <c r="B3695" s="2" t="s">
        <v>9086</v>
      </c>
      <c r="C3695" s="2" t="s">
        <v>26</v>
      </c>
      <c r="D3695" s="2" t="s">
        <v>18</v>
      </c>
      <c r="E3695" s="5">
        <v>-29411</v>
      </c>
      <c r="F3695" s="3" t="s">
        <v>317</v>
      </c>
      <c r="G3695" s="3" t="s">
        <v>38</v>
      </c>
      <c r="H3695" s="2" t="s">
        <v>65</v>
      </c>
      <c r="I3695" s="2" t="s">
        <v>9087</v>
      </c>
      <c r="J3695" s="3" t="str">
        <f>HYPERLINK("https://www.boe.es/gazeta/dias/1819/06/22/pdfs/GMD-1819-75.pdf#page=5","Abrir facsímil")</f>
        <v>Abrir facsímil</v>
      </c>
      <c r="K3695" s="3" t="s">
        <v>67</v>
      </c>
    </row>
    <row r="3696" spans="1:11" ht="42" customHeight="1">
      <c r="A3696" s="2" t="s">
        <v>9088</v>
      </c>
      <c r="B3696" s="2" t="s">
        <v>9089</v>
      </c>
      <c r="C3696" s="2" t="s">
        <v>26</v>
      </c>
      <c r="D3696" s="2" t="s">
        <v>18</v>
      </c>
      <c r="E3696" s="5">
        <v>-29267</v>
      </c>
      <c r="F3696" s="3" t="s">
        <v>370</v>
      </c>
      <c r="G3696" s="3" t="s">
        <v>33</v>
      </c>
      <c r="H3696" s="2" t="s">
        <v>65</v>
      </c>
      <c r="I3696" s="2" t="s">
        <v>9090</v>
      </c>
      <c r="J3696" s="3" t="str">
        <f>HYPERLINK("https://www.boe.es/gazeta/dias/1819/11/13/pdfs/GMD-1819-140.pdf#page=6","Abrir facsímil")</f>
        <v>Abrir facsímil</v>
      </c>
      <c r="K3696" s="3" t="s">
        <v>67</v>
      </c>
    </row>
    <row r="3697" spans="1:11" ht="42" customHeight="1">
      <c r="A3697" s="2" t="s">
        <v>9091</v>
      </c>
      <c r="B3697" s="2" t="s">
        <v>9092</v>
      </c>
      <c r="C3697" s="2" t="s">
        <v>26</v>
      </c>
      <c r="D3697" s="2" t="s">
        <v>18</v>
      </c>
      <c r="E3697" s="5">
        <v>-29582</v>
      </c>
      <c r="F3697" s="3" t="s">
        <v>376</v>
      </c>
      <c r="G3697" s="3" t="s">
        <v>28</v>
      </c>
      <c r="H3697" s="2" t="s">
        <v>65</v>
      </c>
      <c r="I3697" s="2" t="s">
        <v>9093</v>
      </c>
      <c r="J3697" s="3" t="str">
        <f>HYPERLINK("https://www.boe.es/gazeta/dias/1819/01/02/pdfs/GMD-1819-1.pdf#page=8","Abrir facsímil")</f>
        <v>Abrir facsímil</v>
      </c>
      <c r="K3697" s="3" t="s">
        <v>67</v>
      </c>
    </row>
    <row r="3698" spans="1:11" ht="42" customHeight="1">
      <c r="A3698" s="2" t="s">
        <v>9094</v>
      </c>
      <c r="B3698" s="2" t="s">
        <v>9095</v>
      </c>
      <c r="C3698" s="2" t="s">
        <v>80</v>
      </c>
      <c r="D3698" s="2" t="s">
        <v>81</v>
      </c>
      <c r="E3698" s="5">
        <v>-29346</v>
      </c>
      <c r="F3698" s="3" t="s">
        <v>718</v>
      </c>
      <c r="G3698" s="3" t="s">
        <v>55</v>
      </c>
      <c r="H3698" s="2" t="s">
        <v>65</v>
      </c>
      <c r="I3698" s="2" t="s">
        <v>9096</v>
      </c>
      <c r="J3698" s="3" t="str">
        <f>HYPERLINK("https://www.boe.es/gazeta/dias/1819/08/26/pdfs/GMD-1819-103.pdf#page=7","Abrir facsímil")</f>
        <v>Abrir facsímil</v>
      </c>
      <c r="K3698" s="3" t="s">
        <v>67</v>
      </c>
    </row>
    <row r="3699" spans="1:11" ht="42" customHeight="1">
      <c r="A3699" s="2" t="s">
        <v>9097</v>
      </c>
      <c r="B3699" s="2" t="s">
        <v>9098</v>
      </c>
      <c r="C3699" s="2" t="s">
        <v>80</v>
      </c>
      <c r="D3699" s="2" t="s">
        <v>81</v>
      </c>
      <c r="E3699" s="5">
        <v>-29320</v>
      </c>
      <c r="F3699" s="3" t="s">
        <v>690</v>
      </c>
      <c r="G3699" s="3" t="s">
        <v>28</v>
      </c>
      <c r="H3699" s="2" t="s">
        <v>65</v>
      </c>
      <c r="I3699" s="2" t="s">
        <v>9099</v>
      </c>
      <c r="J3699" s="3" t="str">
        <f>HYPERLINK("https://www.boe.es/gazeta/dias/1819/09/21/pdfs/GMD-1819-116.pdf#page=8","Abrir facsímil")</f>
        <v>Abrir facsímil</v>
      </c>
      <c r="K3699" s="3" t="s">
        <v>67</v>
      </c>
    </row>
    <row r="3700" spans="1:11" ht="42" customHeight="1">
      <c r="A3700" s="2" t="s">
        <v>9100</v>
      </c>
      <c r="B3700" s="2" t="s">
        <v>9101</v>
      </c>
      <c r="C3700" s="2" t="s">
        <v>63</v>
      </c>
      <c r="D3700" s="2" t="s">
        <v>43</v>
      </c>
      <c r="E3700" s="5">
        <v>-29530</v>
      </c>
      <c r="F3700" s="3" t="s">
        <v>202</v>
      </c>
      <c r="G3700" s="3" t="s">
        <v>28</v>
      </c>
      <c r="H3700" s="2" t="s">
        <v>65</v>
      </c>
      <c r="I3700" s="2" t="s">
        <v>9102</v>
      </c>
      <c r="J3700" s="3" t="str">
        <f>HYPERLINK("https://www.boe.es/gazeta/dias/1819/02/23/pdfs/GMD-1819-23.pdf#page=8","Abrir facsímil")</f>
        <v>Abrir facsímil</v>
      </c>
      <c r="K3700" s="3" t="s">
        <v>67</v>
      </c>
    </row>
    <row r="3701" spans="1:11" ht="42" customHeight="1">
      <c r="A3701" s="2" t="s">
        <v>9103</v>
      </c>
      <c r="B3701" s="2" t="s">
        <v>9104</v>
      </c>
      <c r="C3701" s="2" t="s">
        <v>80</v>
      </c>
      <c r="D3701" s="2" t="s">
        <v>81</v>
      </c>
      <c r="E3701" s="5">
        <v>-29250</v>
      </c>
      <c r="F3701" s="3" t="s">
        <v>312</v>
      </c>
      <c r="G3701" s="3" t="s">
        <v>313</v>
      </c>
      <c r="H3701" s="2" t="s">
        <v>65</v>
      </c>
      <c r="I3701" s="2" t="s">
        <v>9105</v>
      </c>
      <c r="J3701" s="3" t="str">
        <f>HYPERLINK("https://www.boe.es/gazeta/dias/1819/11/30/pdfs/GMD-1819-147.pdf#page=8","Abrir facsímil")</f>
        <v>Abrir facsímil</v>
      </c>
      <c r="K3701" s="3" t="s">
        <v>67</v>
      </c>
    </row>
    <row r="3702" spans="1:11" ht="42" customHeight="1">
      <c r="A3702" s="2" t="s">
        <v>9106</v>
      </c>
      <c r="B3702" s="2" t="s">
        <v>9107</v>
      </c>
      <c r="C3702" s="2" t="s">
        <v>63</v>
      </c>
      <c r="D3702" s="2" t="s">
        <v>454</v>
      </c>
      <c r="E3702" s="5">
        <v>-29287</v>
      </c>
      <c r="F3702" s="3" t="s">
        <v>455</v>
      </c>
      <c r="G3702" s="3" t="s">
        <v>456</v>
      </c>
      <c r="H3702" s="2" t="s">
        <v>21</v>
      </c>
      <c r="I3702" s="2" t="s">
        <v>9108</v>
      </c>
      <c r="J3702" s="3" t="str">
        <f>HYPERLINK("https://www.boe.es/gazeta/dias/1819/10/24/pdfs/GMD-1819-131E.pdf#page=9","Abrir facsímil")</f>
        <v>Abrir facsímil</v>
      </c>
      <c r="K3702" s="3" t="s">
        <v>23</v>
      </c>
    </row>
    <row r="3703" spans="1:11" ht="42" customHeight="1">
      <c r="A3703" s="2" t="s">
        <v>9109</v>
      </c>
      <c r="B3703" s="2" t="s">
        <v>9110</v>
      </c>
      <c r="C3703" s="2" t="s">
        <v>80</v>
      </c>
      <c r="D3703" s="2" t="s">
        <v>81</v>
      </c>
      <c r="E3703" s="5">
        <v>-29481</v>
      </c>
      <c r="F3703" s="3" t="s">
        <v>1504</v>
      </c>
      <c r="G3703" s="3" t="s">
        <v>33</v>
      </c>
      <c r="H3703" s="2" t="s">
        <v>65</v>
      </c>
      <c r="I3703" s="2" t="s">
        <v>9111</v>
      </c>
      <c r="J3703" s="3" t="str">
        <f>HYPERLINK("https://www.boe.es/gazeta/dias/1819/04/13/pdfs/GMD-1819-44.pdf#page=6","Abrir facsímil")</f>
        <v>Abrir facsímil</v>
      </c>
      <c r="K3703" s="3" t="s">
        <v>67</v>
      </c>
    </row>
    <row r="3704" spans="1:11" ht="42" customHeight="1">
      <c r="A3704" s="2" t="s">
        <v>9112</v>
      </c>
      <c r="B3704" s="2" t="s">
        <v>9113</v>
      </c>
      <c r="C3704" s="2" t="s">
        <v>17</v>
      </c>
      <c r="D3704" s="2" t="s">
        <v>18</v>
      </c>
      <c r="E3704" s="5">
        <v>-29390</v>
      </c>
      <c r="F3704" s="3" t="s">
        <v>263</v>
      </c>
      <c r="G3704" s="3" t="s">
        <v>55</v>
      </c>
      <c r="H3704" s="2" t="s">
        <v>65</v>
      </c>
      <c r="I3704" s="2" t="s">
        <v>9114</v>
      </c>
      <c r="J3704" s="3" t="str">
        <f>HYPERLINK("https://www.boe.es/gazeta/dias/1819/07/13/pdfs/GMD-1819-84.pdf#page=7","Abrir facsímil")</f>
        <v>Abrir facsímil</v>
      </c>
      <c r="K3704" s="3" t="s">
        <v>67</v>
      </c>
    </row>
    <row r="3705" spans="1:11" ht="42" customHeight="1">
      <c r="A3705" s="2" t="s">
        <v>9115</v>
      </c>
      <c r="B3705" s="2" t="s">
        <v>9116</v>
      </c>
      <c r="C3705" s="2" t="s">
        <v>80</v>
      </c>
      <c r="D3705" s="2" t="s">
        <v>81</v>
      </c>
      <c r="E3705" s="5">
        <v>-29572</v>
      </c>
      <c r="F3705" s="3" t="s">
        <v>589</v>
      </c>
      <c r="G3705" s="3" t="s">
        <v>590</v>
      </c>
      <c r="H3705" s="2" t="s">
        <v>65</v>
      </c>
      <c r="I3705" s="2" t="s">
        <v>9117</v>
      </c>
      <c r="J3705" s="3" t="str">
        <f>HYPERLINK("https://www.boe.es/gazeta/dias/1819/01/12/pdfs/GMD-1819-5.pdf#page=8","Abrir facsímil")</f>
        <v>Abrir facsímil</v>
      </c>
      <c r="K3705" s="3" t="s">
        <v>67</v>
      </c>
    </row>
    <row r="3706" spans="1:11" ht="42" customHeight="1">
      <c r="A3706" s="2" t="s">
        <v>9118</v>
      </c>
      <c r="B3706" s="2" t="s">
        <v>9119</v>
      </c>
      <c r="C3706" s="2" t="s">
        <v>59</v>
      </c>
      <c r="D3706" s="2" t="s">
        <v>18</v>
      </c>
      <c r="E3706" s="5">
        <v>-29316</v>
      </c>
      <c r="F3706" s="3" t="s">
        <v>166</v>
      </c>
      <c r="G3706" s="3" t="s">
        <v>33</v>
      </c>
      <c r="H3706" s="2" t="s">
        <v>65</v>
      </c>
      <c r="I3706" s="2" t="s">
        <v>9120</v>
      </c>
      <c r="J3706" s="3" t="str">
        <f>HYPERLINK("https://www.boe.es/gazeta/dias/1819/09/25/pdfs/GMD-1819-118.pdf#page=6","Abrir facsímil")</f>
        <v>Abrir facsímil</v>
      </c>
      <c r="K3706" s="3" t="s">
        <v>67</v>
      </c>
    </row>
    <row r="3707" spans="1:11" ht="42" customHeight="1">
      <c r="A3707" s="2" t="s">
        <v>9121</v>
      </c>
      <c r="B3707" s="2" t="s">
        <v>9121</v>
      </c>
      <c r="C3707" s="2" t="s">
        <v>59</v>
      </c>
      <c r="D3707" s="2" t="s">
        <v>18</v>
      </c>
      <c r="E3707" s="5">
        <v>-29337</v>
      </c>
      <c r="F3707" s="3" t="s">
        <v>1098</v>
      </c>
      <c r="G3707" s="3" t="s">
        <v>239</v>
      </c>
      <c r="H3707" s="2" t="s">
        <v>65</v>
      </c>
      <c r="I3707" s="2" t="s">
        <v>9122</v>
      </c>
      <c r="J3707" s="3" t="str">
        <f>HYPERLINK("https://www.boe.es/gazeta/dias/1819/09/04/pdfs/GMD-1819-108.pdf#page=1","Abrir facsímil")</f>
        <v>Abrir facsímil</v>
      </c>
      <c r="K3707" s="3" t="s">
        <v>67</v>
      </c>
    </row>
    <row r="3708" spans="1:11" ht="42" customHeight="1">
      <c r="A3708" s="2" t="s">
        <v>9123</v>
      </c>
      <c r="B3708" s="2" t="s">
        <v>9123</v>
      </c>
      <c r="C3708" s="2" t="s">
        <v>59</v>
      </c>
      <c r="D3708" s="2" t="s">
        <v>18</v>
      </c>
      <c r="E3708" s="5">
        <v>-29327</v>
      </c>
      <c r="F3708" s="3" t="s">
        <v>620</v>
      </c>
      <c r="G3708" s="3" t="s">
        <v>102</v>
      </c>
      <c r="H3708" s="2" t="s">
        <v>65</v>
      </c>
      <c r="I3708" s="2" t="s">
        <v>9124</v>
      </c>
      <c r="J3708" s="3" t="str">
        <f>HYPERLINK("https://www.boe.es/gazeta/dias/1819/09/14/pdfs/GMD-1819-112.pdf#page=3","Abrir facsímil")</f>
        <v>Abrir facsímil</v>
      </c>
      <c r="K3708" s="3" t="s">
        <v>67</v>
      </c>
    </row>
    <row r="3709" spans="1:11" ht="42" customHeight="1">
      <c r="A3709" s="2" t="s">
        <v>9125</v>
      </c>
      <c r="B3709" s="2" t="s">
        <v>9125</v>
      </c>
      <c r="C3709" s="2" t="s">
        <v>63</v>
      </c>
      <c r="D3709" s="2" t="s">
        <v>43</v>
      </c>
      <c r="E3709" s="5">
        <v>-29495</v>
      </c>
      <c r="F3709" s="3" t="s">
        <v>992</v>
      </c>
      <c r="G3709" s="3" t="s">
        <v>259</v>
      </c>
      <c r="H3709" s="2" t="s">
        <v>65</v>
      </c>
      <c r="I3709" s="2" t="s">
        <v>9126</v>
      </c>
      <c r="J3709" s="3" t="str">
        <f>HYPERLINK("https://www.boe.es/gazeta/dias/1819/03/30/pdfs/GMD-1819-38.pdf#page=2","Abrir facsímil")</f>
        <v>Abrir facsímil</v>
      </c>
      <c r="K3709" s="3" t="s">
        <v>67</v>
      </c>
    </row>
    <row r="3710" spans="1:11" ht="42" customHeight="1">
      <c r="A3710" s="2" t="s">
        <v>9127</v>
      </c>
      <c r="B3710" s="2" t="s">
        <v>9127</v>
      </c>
      <c r="C3710" s="2" t="s">
        <v>80</v>
      </c>
      <c r="D3710" s="2" t="s">
        <v>81</v>
      </c>
      <c r="E3710" s="5">
        <v>-29402</v>
      </c>
      <c r="F3710" s="3" t="s">
        <v>1091</v>
      </c>
      <c r="G3710" s="3" t="s">
        <v>239</v>
      </c>
      <c r="H3710" s="2" t="s">
        <v>65</v>
      </c>
      <c r="I3710" s="2" t="s">
        <v>9128</v>
      </c>
      <c r="J3710" s="3" t="str">
        <f>HYPERLINK("https://www.boe.es/gazeta/dias/1819/07/01/pdfs/GMD-1819-79.pdf#page=1","Abrir facsímil")</f>
        <v>Abrir facsímil</v>
      </c>
      <c r="K3710" s="3" t="s">
        <v>67</v>
      </c>
    </row>
    <row r="3711" spans="1:11" ht="42" customHeight="1">
      <c r="A3711" s="2" t="s">
        <v>9129</v>
      </c>
      <c r="B3711" s="2" t="s">
        <v>9130</v>
      </c>
      <c r="C3711" s="2" t="s">
        <v>246</v>
      </c>
      <c r="D3711" s="2" t="s">
        <v>18</v>
      </c>
      <c r="E3711" s="5">
        <v>-29318</v>
      </c>
      <c r="F3711" s="3" t="s">
        <v>1442</v>
      </c>
      <c r="G3711" s="3" t="s">
        <v>1443</v>
      </c>
      <c r="H3711" s="2" t="s">
        <v>65</v>
      </c>
      <c r="I3711" s="2" t="s">
        <v>9131</v>
      </c>
      <c r="J3711" s="3" t="str">
        <f>HYPERLINK("https://www.boe.es/gazeta/dias/1819/09/23/pdfs/GMD-1819-117.pdf#page=8","Abrir facsímil")</f>
        <v>Abrir facsímil</v>
      </c>
      <c r="K3711" s="3" t="s">
        <v>67</v>
      </c>
    </row>
    <row r="3712" spans="1:11" ht="42" customHeight="1">
      <c r="A3712" s="2" t="s">
        <v>9132</v>
      </c>
      <c r="B3712" s="2" t="s">
        <v>9133</v>
      </c>
      <c r="C3712" s="2" t="s">
        <v>80</v>
      </c>
      <c r="D3712" s="2" t="s">
        <v>81</v>
      </c>
      <c r="E3712" s="5">
        <v>-29572</v>
      </c>
      <c r="F3712" s="3" t="s">
        <v>589</v>
      </c>
      <c r="G3712" s="3" t="s">
        <v>33</v>
      </c>
      <c r="H3712" s="2" t="s">
        <v>65</v>
      </c>
      <c r="I3712" s="2" t="s">
        <v>9134</v>
      </c>
      <c r="J3712" s="3" t="str">
        <f>HYPERLINK("https://www.boe.es/gazeta/dias/1819/01/12/pdfs/GMD-1819-5.pdf#page=6","Abrir facsímil")</f>
        <v>Abrir facsímil</v>
      </c>
      <c r="K3712" s="3" t="s">
        <v>67</v>
      </c>
    </row>
    <row r="3713" spans="1:11" ht="42" customHeight="1">
      <c r="A3713" s="2" t="s">
        <v>9135</v>
      </c>
      <c r="B3713" s="2" t="s">
        <v>9135</v>
      </c>
      <c r="C3713" s="2" t="s">
        <v>63</v>
      </c>
      <c r="D3713" s="2" t="s">
        <v>43</v>
      </c>
      <c r="E3713" s="5">
        <v>-29519</v>
      </c>
      <c r="F3713" s="3" t="s">
        <v>142</v>
      </c>
      <c r="G3713" s="3" t="s">
        <v>28</v>
      </c>
      <c r="H3713" s="2" t="s">
        <v>65</v>
      </c>
      <c r="I3713" s="2" t="s">
        <v>9136</v>
      </c>
      <c r="J3713" s="3" t="str">
        <f>HYPERLINK("https://www.boe.es/gazeta/dias/1819/03/06/pdfs/GMD-1819-28.pdf#page=8","Abrir facsímil")</f>
        <v>Abrir facsímil</v>
      </c>
      <c r="K3713" s="3" t="s">
        <v>67</v>
      </c>
    </row>
    <row r="3714" spans="1:11" ht="42" customHeight="1">
      <c r="A3714" s="2" t="s">
        <v>9135</v>
      </c>
      <c r="B3714" s="2" t="s">
        <v>9135</v>
      </c>
      <c r="C3714" s="2" t="s">
        <v>246</v>
      </c>
      <c r="D3714" s="2" t="s">
        <v>18</v>
      </c>
      <c r="E3714" s="5">
        <v>-29458</v>
      </c>
      <c r="F3714" s="3" t="s">
        <v>766</v>
      </c>
      <c r="G3714" s="3" t="s">
        <v>55</v>
      </c>
      <c r="H3714" s="2" t="s">
        <v>65</v>
      </c>
      <c r="I3714" s="2" t="s">
        <v>9137</v>
      </c>
      <c r="J3714" s="3" t="str">
        <f>HYPERLINK("https://www.boe.es/gazeta/dias/1819/05/06/pdfs/GMD-1819-54.pdf#page=7","Abrir facsímil")</f>
        <v>Abrir facsímil</v>
      </c>
      <c r="K3714" s="3" t="s">
        <v>67</v>
      </c>
    </row>
    <row r="3715" spans="1:11" ht="42" customHeight="1">
      <c r="A3715" s="2" t="s">
        <v>9135</v>
      </c>
      <c r="B3715" s="2" t="s">
        <v>9135</v>
      </c>
      <c r="C3715" s="2" t="s">
        <v>59</v>
      </c>
      <c r="D3715" s="2" t="s">
        <v>18</v>
      </c>
      <c r="E3715" s="5">
        <v>-29290</v>
      </c>
      <c r="F3715" s="3" t="s">
        <v>622</v>
      </c>
      <c r="G3715" s="3" t="s">
        <v>55</v>
      </c>
      <c r="H3715" s="2" t="s">
        <v>65</v>
      </c>
      <c r="I3715" s="2" t="s">
        <v>9138</v>
      </c>
      <c r="J3715" s="3" t="str">
        <f>HYPERLINK("https://www.boe.es/gazeta/dias/1819/10/21/pdfs/GMD-1819-129.pdf#page=7","Abrir facsímil")</f>
        <v>Abrir facsímil</v>
      </c>
      <c r="K3715" s="3" t="s">
        <v>67</v>
      </c>
    </row>
    <row r="3716" spans="1:11" ht="42" customHeight="1">
      <c r="A3716" s="2" t="s">
        <v>9139</v>
      </c>
      <c r="B3716" s="2" t="s">
        <v>9140</v>
      </c>
      <c r="C3716" s="2" t="s">
        <v>80</v>
      </c>
      <c r="D3716" s="2" t="s">
        <v>81</v>
      </c>
      <c r="E3716" s="5">
        <v>-29269</v>
      </c>
      <c r="F3716" s="3" t="s">
        <v>565</v>
      </c>
      <c r="G3716" s="3" t="s">
        <v>55</v>
      </c>
      <c r="H3716" s="2" t="s">
        <v>65</v>
      </c>
      <c r="I3716" s="2" t="s">
        <v>9141</v>
      </c>
      <c r="J3716" s="3" t="str">
        <f>HYPERLINK("https://www.boe.es/gazeta/dias/1819/11/11/pdfs/GMD-1819-139.pdf#page=7","Abrir facsímil")</f>
        <v>Abrir facsímil</v>
      </c>
      <c r="K3716" s="3" t="s">
        <v>67</v>
      </c>
    </row>
    <row r="3717" spans="1:11" ht="42" customHeight="1">
      <c r="A3717" s="2" t="s">
        <v>9142</v>
      </c>
      <c r="B3717" s="2" t="s">
        <v>9142</v>
      </c>
      <c r="C3717" s="2" t="s">
        <v>215</v>
      </c>
      <c r="D3717" s="2" t="s">
        <v>18</v>
      </c>
      <c r="E3717" s="5">
        <v>-29474</v>
      </c>
      <c r="F3717" s="3" t="s">
        <v>216</v>
      </c>
      <c r="G3717" s="3" t="s">
        <v>28</v>
      </c>
      <c r="H3717" s="2" t="s">
        <v>65</v>
      </c>
      <c r="I3717" s="2" t="s">
        <v>9143</v>
      </c>
      <c r="J3717" s="3" t="str">
        <f>HYPERLINK("https://www.boe.es/gazeta/dias/1819/04/20/pdfs/GMD-1819-47.pdf#page=8","Abrir facsímil")</f>
        <v>Abrir facsímil</v>
      </c>
      <c r="K3717" s="3" t="s">
        <v>67</v>
      </c>
    </row>
    <row r="3718" spans="1:11" ht="42" customHeight="1">
      <c r="A3718" s="2" t="s">
        <v>9144</v>
      </c>
      <c r="B3718" s="2" t="s">
        <v>9145</v>
      </c>
      <c r="C3718" s="2" t="s">
        <v>80</v>
      </c>
      <c r="D3718" s="2" t="s">
        <v>81</v>
      </c>
      <c r="E3718" s="5">
        <v>-29274</v>
      </c>
      <c r="F3718" s="3" t="s">
        <v>247</v>
      </c>
      <c r="G3718" s="3" t="s">
        <v>38</v>
      </c>
      <c r="H3718" s="2" t="s">
        <v>65</v>
      </c>
      <c r="I3718" s="2" t="s">
        <v>9146</v>
      </c>
      <c r="J3718" s="3" t="str">
        <f>HYPERLINK("https://www.boe.es/gazeta/dias/1819/11/06/pdfs/GMD-1819-137.pdf#page=5","Abrir facsímil")</f>
        <v>Abrir facsímil</v>
      </c>
      <c r="K3718" s="3" t="s">
        <v>67</v>
      </c>
    </row>
    <row r="3719" spans="1:11" ht="42" customHeight="1">
      <c r="A3719" s="2" t="s">
        <v>9147</v>
      </c>
      <c r="B3719" s="2" t="s">
        <v>9148</v>
      </c>
      <c r="C3719" s="2" t="s">
        <v>215</v>
      </c>
      <c r="D3719" s="2" t="s">
        <v>18</v>
      </c>
      <c r="E3719" s="5">
        <v>-29442</v>
      </c>
      <c r="F3719" s="3" t="s">
        <v>427</v>
      </c>
      <c r="G3719" s="3" t="s">
        <v>28</v>
      </c>
      <c r="H3719" s="2" t="s">
        <v>65</v>
      </c>
      <c r="I3719" s="2" t="s">
        <v>9149</v>
      </c>
      <c r="J3719" s="3" t="str">
        <f>HYPERLINK("https://www.boe.es/gazeta/dias/1819/05/22/pdfs/GMD-1819-61.pdf#page=8","Abrir facsímil")</f>
        <v>Abrir facsímil</v>
      </c>
      <c r="K3719" s="3" t="s">
        <v>67</v>
      </c>
    </row>
    <row r="3720" spans="1:11" ht="42" customHeight="1">
      <c r="A3720" s="2" t="s">
        <v>9150</v>
      </c>
      <c r="B3720" s="2" t="s">
        <v>9151</v>
      </c>
      <c r="C3720" s="2" t="s">
        <v>63</v>
      </c>
      <c r="D3720" s="2" t="s">
        <v>43</v>
      </c>
      <c r="E3720" s="5">
        <v>-29530</v>
      </c>
      <c r="F3720" s="3" t="s">
        <v>202</v>
      </c>
      <c r="G3720" s="3" t="s">
        <v>456</v>
      </c>
      <c r="H3720" s="2" t="s">
        <v>21</v>
      </c>
      <c r="I3720" s="2" t="s">
        <v>9152</v>
      </c>
      <c r="J3720" s="3" t="str">
        <f>HYPERLINK("https://www.boe.es/gazeta/dias/1819/02/23/pdfs/GMD-1819-23.pdf#page=9","Abrir facsímil")</f>
        <v>Abrir facsímil</v>
      </c>
      <c r="K3720" s="3" t="s">
        <v>23</v>
      </c>
    </row>
    <row r="3721" spans="1:11" ht="42" customHeight="1">
      <c r="A3721" s="2" t="s">
        <v>9153</v>
      </c>
      <c r="B3721" s="2" t="s">
        <v>9154</v>
      </c>
      <c r="C3721" s="2" t="s">
        <v>80</v>
      </c>
      <c r="D3721" s="2" t="s">
        <v>454</v>
      </c>
      <c r="E3721" s="5">
        <v>-29287</v>
      </c>
      <c r="F3721" s="3" t="s">
        <v>455</v>
      </c>
      <c r="G3721" s="3" t="s">
        <v>481</v>
      </c>
      <c r="H3721" s="2" t="s">
        <v>65</v>
      </c>
      <c r="I3721" s="2" t="s">
        <v>9155</v>
      </c>
      <c r="J3721" s="3" t="str">
        <f>HYPERLINK("https://www.boe.es/gazeta/dias/1819/10/24/pdfs/GMD-1819-131E.pdf#page=8","Abrir facsímil")</f>
        <v>Abrir facsímil</v>
      </c>
      <c r="K3721" s="3" t="s">
        <v>67</v>
      </c>
    </row>
    <row r="3722" spans="1:11" ht="42" customHeight="1">
      <c r="A3722" s="2" t="s">
        <v>9156</v>
      </c>
      <c r="B3722" s="2" t="s">
        <v>9157</v>
      </c>
      <c r="C3722" s="2" t="s">
        <v>63</v>
      </c>
      <c r="D3722" s="2" t="s">
        <v>43</v>
      </c>
      <c r="E3722" s="5">
        <v>-29379</v>
      </c>
      <c r="F3722" s="3" t="s">
        <v>161</v>
      </c>
      <c r="G3722" s="3" t="s">
        <v>162</v>
      </c>
      <c r="H3722" s="2" t="s">
        <v>65</v>
      </c>
      <c r="I3722" s="2" t="s">
        <v>9158</v>
      </c>
      <c r="J3722" s="3" t="str">
        <f>HYPERLINK("https://www.boe.es/gazeta/dias/1819/07/24/pdfs/GMD-1819-89.pdf#page=5","Abrir facsímil")</f>
        <v>Abrir facsímil</v>
      </c>
      <c r="K3722" s="3" t="s">
        <v>67</v>
      </c>
    </row>
    <row r="3723" spans="1:11" ht="42" customHeight="1">
      <c r="A3723" s="2" t="s">
        <v>9159</v>
      </c>
      <c r="B3723" s="2" t="s">
        <v>9160</v>
      </c>
      <c r="C3723" s="2" t="s">
        <v>80</v>
      </c>
      <c r="D3723" s="2" t="s">
        <v>81</v>
      </c>
      <c r="E3723" s="5">
        <v>-29274</v>
      </c>
      <c r="F3723" s="3" t="s">
        <v>247</v>
      </c>
      <c r="G3723" s="3" t="s">
        <v>33</v>
      </c>
      <c r="H3723" s="2" t="s">
        <v>65</v>
      </c>
      <c r="I3723" s="2" t="s">
        <v>9161</v>
      </c>
      <c r="J3723" s="3" t="str">
        <f>HYPERLINK("https://www.boe.es/gazeta/dias/1819/11/06/pdfs/GMD-1819-137.pdf#page=6","Abrir facsímil")</f>
        <v>Abrir facsímil</v>
      </c>
      <c r="K3723" s="3" t="s">
        <v>67</v>
      </c>
    </row>
    <row r="3724" spans="1:11" ht="42" customHeight="1">
      <c r="A3724" s="2" t="s">
        <v>9162</v>
      </c>
      <c r="B3724" s="2" t="s">
        <v>9162</v>
      </c>
      <c r="C3724" s="2" t="s">
        <v>80</v>
      </c>
      <c r="D3724" s="2" t="s">
        <v>81</v>
      </c>
      <c r="E3724" s="5">
        <v>-29535</v>
      </c>
      <c r="F3724" s="3" t="s">
        <v>200</v>
      </c>
      <c r="G3724" s="3" t="s">
        <v>38</v>
      </c>
      <c r="H3724" s="2" t="s">
        <v>65</v>
      </c>
      <c r="I3724" s="2" t="s">
        <v>9163</v>
      </c>
      <c r="J3724" s="3" t="str">
        <f>HYPERLINK("https://www.boe.es/gazeta/dias/1819/02/18/pdfs/GMD-1819-21.pdf#page=5","Abrir facsímil")</f>
        <v>Abrir facsímil</v>
      </c>
      <c r="K3724" s="3" t="s">
        <v>67</v>
      </c>
    </row>
    <row r="3725" spans="1:11" ht="42" customHeight="1">
      <c r="A3725" s="2" t="s">
        <v>9162</v>
      </c>
      <c r="B3725" s="2" t="s">
        <v>9162</v>
      </c>
      <c r="C3725" s="2" t="s">
        <v>59</v>
      </c>
      <c r="D3725" s="2" t="s">
        <v>18</v>
      </c>
      <c r="E3725" s="5">
        <v>-29257</v>
      </c>
      <c r="F3725" s="3" t="s">
        <v>73</v>
      </c>
      <c r="G3725" s="3" t="s">
        <v>38</v>
      </c>
      <c r="H3725" s="2" t="s">
        <v>65</v>
      </c>
      <c r="I3725" s="2" t="s">
        <v>9164</v>
      </c>
      <c r="J3725" s="3" t="str">
        <f>HYPERLINK("https://www.boe.es/gazeta/dias/1819/11/23/pdfs/GMD-1819-144.pdf#page=5","Abrir facsímil")</f>
        <v>Abrir facsímil</v>
      </c>
      <c r="K3725" s="3" t="s">
        <v>67</v>
      </c>
    </row>
    <row r="3726" spans="1:11" ht="42" customHeight="1">
      <c r="A3726" s="2" t="s">
        <v>9165</v>
      </c>
      <c r="B3726" s="2" t="s">
        <v>9166</v>
      </c>
      <c r="C3726" s="2" t="s">
        <v>59</v>
      </c>
      <c r="D3726" s="2" t="s">
        <v>18</v>
      </c>
      <c r="E3726" s="5">
        <v>-29346</v>
      </c>
      <c r="F3726" s="3" t="s">
        <v>718</v>
      </c>
      <c r="G3726" s="3" t="s">
        <v>33</v>
      </c>
      <c r="H3726" s="2" t="s">
        <v>65</v>
      </c>
      <c r="I3726" s="2" t="s">
        <v>9167</v>
      </c>
      <c r="J3726" s="3" t="str">
        <f>HYPERLINK("https://www.boe.es/gazeta/dias/1819/08/26/pdfs/GMD-1819-103.pdf#page=6","Abrir facsímil")</f>
        <v>Abrir facsímil</v>
      </c>
      <c r="K3726" s="3" t="s">
        <v>67</v>
      </c>
    </row>
    <row r="3727" spans="1:11" ht="42" customHeight="1">
      <c r="A3727" s="2" t="s">
        <v>9168</v>
      </c>
      <c r="B3727" s="2" t="s">
        <v>9169</v>
      </c>
      <c r="C3727" s="2" t="s">
        <v>80</v>
      </c>
      <c r="D3727" s="2" t="s">
        <v>81</v>
      </c>
      <c r="E3727" s="5">
        <v>-29374</v>
      </c>
      <c r="F3727" s="3" t="s">
        <v>204</v>
      </c>
      <c r="G3727" s="3" t="s">
        <v>33</v>
      </c>
      <c r="H3727" s="2" t="s">
        <v>65</v>
      </c>
      <c r="I3727" s="2" t="s">
        <v>9170</v>
      </c>
      <c r="J3727" s="3" t="str">
        <f>HYPERLINK("https://www.boe.es/gazeta/dias/1819/07/29/pdfs/GMD-1819-91.pdf#page=6","Abrir facsímil")</f>
        <v>Abrir facsímil</v>
      </c>
      <c r="K3727" s="3" t="s">
        <v>67</v>
      </c>
    </row>
    <row r="3728" spans="1:11" ht="42" customHeight="1">
      <c r="A3728" s="2" t="s">
        <v>9171</v>
      </c>
      <c r="B3728" s="2" t="s">
        <v>9172</v>
      </c>
      <c r="C3728" s="2" t="s">
        <v>63</v>
      </c>
      <c r="D3728" s="2" t="s">
        <v>43</v>
      </c>
      <c r="E3728" s="5">
        <v>-29418</v>
      </c>
      <c r="F3728" s="3" t="s">
        <v>447</v>
      </c>
      <c r="G3728" s="3" t="s">
        <v>55</v>
      </c>
      <c r="H3728" s="2" t="s">
        <v>65</v>
      </c>
      <c r="I3728" s="2" t="s">
        <v>9173</v>
      </c>
      <c r="J3728" s="3" t="str">
        <f>HYPERLINK("https://www.boe.es/gazeta/dias/1819/06/15/pdfs/GMD-1819-72.pdf#page=7","Abrir facsímil")</f>
        <v>Abrir facsímil</v>
      </c>
      <c r="K3728" s="3" t="s">
        <v>67</v>
      </c>
    </row>
    <row r="3729" spans="1:11" ht="42" customHeight="1">
      <c r="A3729" s="2" t="s">
        <v>9174</v>
      </c>
      <c r="B3729" s="2" t="s">
        <v>9175</v>
      </c>
      <c r="C3729" s="2" t="s">
        <v>80</v>
      </c>
      <c r="D3729" s="2" t="s">
        <v>81</v>
      </c>
      <c r="E3729" s="5">
        <v>-29556</v>
      </c>
      <c r="F3729" s="3" t="s">
        <v>255</v>
      </c>
      <c r="G3729" s="3" t="s">
        <v>55</v>
      </c>
      <c r="H3729" s="2" t="s">
        <v>21</v>
      </c>
      <c r="I3729" s="2" t="s">
        <v>9176</v>
      </c>
      <c r="J3729" s="3" t="str">
        <f>HYPERLINK("https://www.boe.es/gazeta/dias/1819/01/28/pdfs/GMD-1819-12.pdf#page=7","Abrir facsímil")</f>
        <v>Abrir facsímil</v>
      </c>
      <c r="K3729" s="3" t="s">
        <v>23</v>
      </c>
    </row>
    <row r="3730" spans="1:11" ht="42" customHeight="1">
      <c r="A3730" s="2" t="s">
        <v>9177</v>
      </c>
      <c r="B3730" s="2" t="s">
        <v>9177</v>
      </c>
      <c r="C3730" s="2" t="s">
        <v>63</v>
      </c>
      <c r="D3730" s="2" t="s">
        <v>43</v>
      </c>
      <c r="E3730" s="5">
        <v>-29222</v>
      </c>
      <c r="F3730" s="3" t="s">
        <v>338</v>
      </c>
      <c r="G3730" s="3" t="s">
        <v>339</v>
      </c>
      <c r="H3730" s="2" t="s">
        <v>65</v>
      </c>
      <c r="I3730" s="2" t="s">
        <v>9178</v>
      </c>
      <c r="J3730" s="3" t="str">
        <f>HYPERLINK("https://www.boe.es/gazeta/dias/1819/12/28/pdfs/GMD-1819-159.pdf#page=8","Abrir facsímil")</f>
        <v>Abrir facsímil</v>
      </c>
      <c r="K3730" s="3" t="s">
        <v>67</v>
      </c>
    </row>
    <row r="3731" spans="1:11" ht="42" customHeight="1">
      <c r="A3731" s="2" t="s">
        <v>9179</v>
      </c>
      <c r="B3731" s="2" t="s">
        <v>9180</v>
      </c>
      <c r="C3731" s="2" t="s">
        <v>59</v>
      </c>
      <c r="D3731" s="2" t="s">
        <v>18</v>
      </c>
      <c r="E3731" s="5">
        <v>-29316</v>
      </c>
      <c r="F3731" s="3" t="s">
        <v>166</v>
      </c>
      <c r="G3731" s="3" t="s">
        <v>28</v>
      </c>
      <c r="H3731" s="2" t="s">
        <v>65</v>
      </c>
      <c r="I3731" s="2" t="s">
        <v>9181</v>
      </c>
      <c r="J3731" s="3" t="str">
        <f>HYPERLINK("https://www.boe.es/gazeta/dias/1819/09/25/pdfs/GMD-1819-118.pdf#page=8","Abrir facsímil")</f>
        <v>Abrir facsímil</v>
      </c>
      <c r="K3731" s="3" t="s">
        <v>67</v>
      </c>
    </row>
    <row r="3732" spans="1:11" ht="42" customHeight="1">
      <c r="A3732" s="2" t="s">
        <v>9182</v>
      </c>
      <c r="B3732" s="2" t="s">
        <v>9183</v>
      </c>
      <c r="C3732" s="2" t="s">
        <v>59</v>
      </c>
      <c r="D3732" s="2" t="s">
        <v>18</v>
      </c>
      <c r="E3732" s="5">
        <v>-29467</v>
      </c>
      <c r="F3732" s="3" t="s">
        <v>1712</v>
      </c>
      <c r="G3732" s="3" t="s">
        <v>38</v>
      </c>
      <c r="H3732" s="2" t="s">
        <v>65</v>
      </c>
      <c r="I3732" s="2" t="s">
        <v>9184</v>
      </c>
      <c r="J3732" s="3" t="str">
        <f>HYPERLINK("https://www.boe.es/gazeta/dias/1819/04/27/pdfs/GMD-1819-50.pdf#page=5","Abrir facsímil")</f>
        <v>Abrir facsímil</v>
      </c>
      <c r="K3732" s="3" t="s">
        <v>67</v>
      </c>
    </row>
    <row r="3733" spans="1:11" ht="42" customHeight="1">
      <c r="A3733" s="2" t="s">
        <v>9185</v>
      </c>
      <c r="B3733" s="2" t="s">
        <v>9185</v>
      </c>
      <c r="C3733" s="2" t="s">
        <v>26</v>
      </c>
      <c r="D3733" s="2" t="s">
        <v>18</v>
      </c>
      <c r="E3733" s="5">
        <v>-29542</v>
      </c>
      <c r="F3733" s="3" t="s">
        <v>607</v>
      </c>
      <c r="G3733" s="3" t="s">
        <v>38</v>
      </c>
      <c r="H3733" s="2" t="s">
        <v>65</v>
      </c>
      <c r="I3733" s="2" t="s">
        <v>9186</v>
      </c>
      <c r="J3733" s="3" t="str">
        <f>HYPERLINK("https://www.boe.es/gazeta/dias/1819/02/11/pdfs/GMD-1819-18.pdf#page=5","Abrir facsímil")</f>
        <v>Abrir facsímil</v>
      </c>
      <c r="K3733" s="3" t="s">
        <v>67</v>
      </c>
    </row>
    <row r="3734" spans="1:11" ht="42" customHeight="1">
      <c r="A3734" s="2" t="s">
        <v>9187</v>
      </c>
      <c r="B3734" s="2" t="s">
        <v>9188</v>
      </c>
      <c r="C3734" s="2" t="s">
        <v>59</v>
      </c>
      <c r="D3734" s="2" t="s">
        <v>18</v>
      </c>
      <c r="E3734" s="5">
        <v>-29446</v>
      </c>
      <c r="F3734" s="3" t="s">
        <v>773</v>
      </c>
      <c r="G3734" s="3" t="s">
        <v>776</v>
      </c>
      <c r="H3734" s="2" t="s">
        <v>65</v>
      </c>
      <c r="I3734" s="2" t="s">
        <v>9189</v>
      </c>
      <c r="J3734" s="3" t="str">
        <f>HYPERLINK("https://www.boe.es/gazeta/dias/1819/05/18/pdfs/GMD-1819-59.pdf#page=7","Abrir facsímil")</f>
        <v>Abrir facsímil</v>
      </c>
      <c r="K3734" s="3" t="s">
        <v>67</v>
      </c>
    </row>
    <row r="3735" spans="1:11" ht="42" customHeight="1">
      <c r="A3735" s="2" t="s">
        <v>9187</v>
      </c>
      <c r="B3735" s="2" t="s">
        <v>9188</v>
      </c>
      <c r="C3735" s="2" t="s">
        <v>17</v>
      </c>
      <c r="D3735" s="2" t="s">
        <v>18</v>
      </c>
      <c r="E3735" s="5">
        <v>-29281</v>
      </c>
      <c r="F3735" s="3" t="s">
        <v>19</v>
      </c>
      <c r="G3735" s="3" t="s">
        <v>20</v>
      </c>
      <c r="H3735" s="2" t="s">
        <v>65</v>
      </c>
      <c r="I3735" s="2" t="s">
        <v>9190</v>
      </c>
      <c r="J3735" s="3" t="str">
        <f>HYPERLINK("https://www.boe.es/gazeta/dias/1819/10/30/pdfs/GMD-1819-134.pdf#page=10","Abrir facsímil")</f>
        <v>Abrir facsímil</v>
      </c>
      <c r="K3735" s="3" t="s">
        <v>67</v>
      </c>
    </row>
    <row r="3736" spans="1:11" ht="42" customHeight="1">
      <c r="A3736" s="2" t="s">
        <v>9187</v>
      </c>
      <c r="B3736" s="2" t="s">
        <v>9188</v>
      </c>
      <c r="C3736" s="2" t="s">
        <v>63</v>
      </c>
      <c r="D3736" s="2" t="s">
        <v>43</v>
      </c>
      <c r="E3736" s="5">
        <v>-29222</v>
      </c>
      <c r="F3736" s="3" t="s">
        <v>338</v>
      </c>
      <c r="G3736" s="3" t="s">
        <v>339</v>
      </c>
      <c r="H3736" s="2" t="s">
        <v>65</v>
      </c>
      <c r="I3736" s="2" t="s">
        <v>9191</v>
      </c>
      <c r="J3736" s="3" t="str">
        <f>HYPERLINK("https://www.boe.es/gazeta/dias/1819/12/28/pdfs/GMD-1819-159.pdf#page=8","Abrir facsímil")</f>
        <v>Abrir facsímil</v>
      </c>
      <c r="K3736" s="3" t="s">
        <v>67</v>
      </c>
    </row>
    <row r="3737" spans="1:11" ht="42" customHeight="1">
      <c r="A3737" s="2" t="s">
        <v>9192</v>
      </c>
      <c r="B3737" s="2" t="s">
        <v>9193</v>
      </c>
      <c r="C3737" s="2" t="s">
        <v>63</v>
      </c>
      <c r="D3737" s="2" t="s">
        <v>43</v>
      </c>
      <c r="E3737" s="5">
        <v>-29558</v>
      </c>
      <c r="F3737" s="3" t="s">
        <v>1463</v>
      </c>
      <c r="G3737" s="3" t="s">
        <v>55</v>
      </c>
      <c r="H3737" s="2" t="s">
        <v>65</v>
      </c>
      <c r="I3737" s="2" t="s">
        <v>9194</v>
      </c>
      <c r="J3737" s="3" t="str">
        <f>HYPERLINK("https://www.boe.es/gazeta/dias/1819/01/26/pdfs/GMD-1819-11.pdf#page=7","Abrir facsímil")</f>
        <v>Abrir facsímil</v>
      </c>
      <c r="K3737" s="3" t="s">
        <v>67</v>
      </c>
    </row>
    <row r="3738" spans="1:11" ht="42" customHeight="1">
      <c r="A3738" s="2" t="s">
        <v>9195</v>
      </c>
      <c r="B3738" s="2" t="s">
        <v>9196</v>
      </c>
      <c r="C3738" s="2" t="s">
        <v>80</v>
      </c>
      <c r="D3738" s="2" t="s">
        <v>81</v>
      </c>
      <c r="E3738" s="5">
        <v>-29453</v>
      </c>
      <c r="F3738" s="3" t="s">
        <v>768</v>
      </c>
      <c r="G3738" s="3" t="s">
        <v>769</v>
      </c>
      <c r="H3738" s="2" t="s">
        <v>65</v>
      </c>
      <c r="I3738" s="2" t="s">
        <v>9197</v>
      </c>
      <c r="J3738" s="3" t="str">
        <f>HYPERLINK("https://www.boe.es/gazeta/dias/1819/05/11/pdfs/GMD-1819-56.pdf#page=4","Abrir facsímil")</f>
        <v>Abrir facsímil</v>
      </c>
      <c r="K3738" s="3" t="s">
        <v>67</v>
      </c>
    </row>
    <row r="3739" spans="1:11" ht="42" customHeight="1">
      <c r="A3739" s="2" t="s">
        <v>9198</v>
      </c>
      <c r="B3739" s="2" t="s">
        <v>9199</v>
      </c>
      <c r="C3739" s="2" t="s">
        <v>80</v>
      </c>
      <c r="D3739" s="2" t="s">
        <v>81</v>
      </c>
      <c r="E3739" s="5">
        <v>-29248</v>
      </c>
      <c r="F3739" s="3" t="s">
        <v>395</v>
      </c>
      <c r="G3739" s="3" t="s">
        <v>94</v>
      </c>
      <c r="H3739" s="2" t="s">
        <v>65</v>
      </c>
      <c r="I3739" s="2" t="s">
        <v>9200</v>
      </c>
      <c r="J3739" s="3" t="str">
        <f>HYPERLINK("https://www.boe.es/gazeta/dias/1819/12/02/pdfs/GMD-1819-148.pdf#page=11","Abrir facsímil")</f>
        <v>Abrir facsímil</v>
      </c>
      <c r="K3739" s="3" t="s">
        <v>67</v>
      </c>
    </row>
    <row r="3740" spans="1:11" ht="42" customHeight="1">
      <c r="A3740" s="2" t="s">
        <v>9201</v>
      </c>
      <c r="B3740" s="2" t="s">
        <v>9202</v>
      </c>
      <c r="C3740" s="2" t="s">
        <v>17</v>
      </c>
      <c r="D3740" s="2" t="s">
        <v>18</v>
      </c>
      <c r="E3740" s="5">
        <v>-29271</v>
      </c>
      <c r="F3740" s="3" t="s">
        <v>32</v>
      </c>
      <c r="G3740" s="3" t="s">
        <v>33</v>
      </c>
      <c r="H3740" s="2" t="s">
        <v>21</v>
      </c>
      <c r="I3740" s="2" t="s">
        <v>9203</v>
      </c>
      <c r="J3740" s="3" t="str">
        <f>HYPERLINK("https://www.boe.es/gazeta/dias/1819/11/09/pdfs/GMD-1819-138.pdf#page=6","Abrir facsímil")</f>
        <v>Abrir facsímil</v>
      </c>
      <c r="K3740" s="3" t="s">
        <v>23</v>
      </c>
    </row>
    <row r="3741" spans="1:11" ht="42" customHeight="1">
      <c r="A3741" s="2" t="s">
        <v>9204</v>
      </c>
      <c r="B3741" s="2" t="s">
        <v>9205</v>
      </c>
      <c r="C3741" s="2" t="s">
        <v>63</v>
      </c>
      <c r="D3741" s="2" t="s">
        <v>43</v>
      </c>
      <c r="E3741" s="5">
        <v>-29311</v>
      </c>
      <c r="F3741" s="3" t="s">
        <v>678</v>
      </c>
      <c r="G3741" s="3" t="s">
        <v>33</v>
      </c>
      <c r="H3741" s="2" t="s">
        <v>65</v>
      </c>
      <c r="I3741" s="2" t="s">
        <v>9206</v>
      </c>
      <c r="J3741" s="3" t="str">
        <f>HYPERLINK("https://www.boe.es/gazeta/dias/1819/09/30/pdfs/GMD-1819-120.pdf#page=6","Abrir facsímil")</f>
        <v>Abrir facsímil</v>
      </c>
      <c r="K3741" s="3" t="s">
        <v>67</v>
      </c>
    </row>
    <row r="3742" spans="1:11" ht="42" customHeight="1">
      <c r="A3742" s="2" t="s">
        <v>9207</v>
      </c>
      <c r="B3742" s="2" t="s">
        <v>9208</v>
      </c>
      <c r="C3742" s="2" t="s">
        <v>80</v>
      </c>
      <c r="D3742" s="2" t="s">
        <v>81</v>
      </c>
      <c r="E3742" s="5">
        <v>-29526</v>
      </c>
      <c r="F3742" s="3" t="s">
        <v>307</v>
      </c>
      <c r="G3742" s="3" t="s">
        <v>308</v>
      </c>
      <c r="H3742" s="2" t="s">
        <v>65</v>
      </c>
      <c r="I3742" s="2" t="s">
        <v>9209</v>
      </c>
      <c r="J3742" s="3" t="str">
        <f>HYPERLINK("https://www.boe.es/gazeta/dias/1819/02/27/pdfs/GMD-1819-25.pdf#page=6","Abrir facsímil")</f>
        <v>Abrir facsímil</v>
      </c>
      <c r="K3742" s="3" t="s">
        <v>67</v>
      </c>
    </row>
    <row r="3743" spans="1:11" ht="42" customHeight="1">
      <c r="A3743" s="2" t="s">
        <v>9210</v>
      </c>
      <c r="B3743" s="2" t="s">
        <v>9211</v>
      </c>
      <c r="C3743" s="2" t="s">
        <v>215</v>
      </c>
      <c r="D3743" s="2" t="s">
        <v>18</v>
      </c>
      <c r="E3743" s="5">
        <v>-29577</v>
      </c>
      <c r="F3743" s="3" t="s">
        <v>1008</v>
      </c>
      <c r="G3743" s="3" t="s">
        <v>33</v>
      </c>
      <c r="H3743" s="2" t="s">
        <v>65</v>
      </c>
      <c r="I3743" s="2" t="s">
        <v>9212</v>
      </c>
      <c r="J3743" s="3" t="str">
        <f>HYPERLINK("https://www.boe.es/gazeta/dias/1819/01/07/pdfs/GMD-1819-3.pdf#page=6","Abrir facsímil")</f>
        <v>Abrir facsímil</v>
      </c>
      <c r="K3743" s="3" t="s">
        <v>67</v>
      </c>
    </row>
    <row r="3744" spans="1:11" ht="42" customHeight="1">
      <c r="A3744" s="2" t="s">
        <v>9213</v>
      </c>
      <c r="B3744" s="2" t="s">
        <v>9214</v>
      </c>
      <c r="C3744" s="2" t="s">
        <v>80</v>
      </c>
      <c r="D3744" s="2" t="s">
        <v>81</v>
      </c>
      <c r="E3744" s="5">
        <v>-29577</v>
      </c>
      <c r="F3744" s="3" t="s">
        <v>1008</v>
      </c>
      <c r="G3744" s="3" t="s">
        <v>33</v>
      </c>
      <c r="H3744" s="2" t="s">
        <v>65</v>
      </c>
      <c r="I3744" s="2" t="s">
        <v>9215</v>
      </c>
      <c r="J3744" s="3" t="str">
        <f>HYPERLINK("https://www.boe.es/gazeta/dias/1819/01/07/pdfs/GMD-1819-3.pdf#page=6","Abrir facsímil")</f>
        <v>Abrir facsímil</v>
      </c>
      <c r="K3744" s="3" t="s">
        <v>67</v>
      </c>
    </row>
    <row r="3745" spans="1:11" ht="42" customHeight="1">
      <c r="A3745" s="2" t="s">
        <v>9216</v>
      </c>
      <c r="B3745" s="2" t="s">
        <v>9217</v>
      </c>
      <c r="C3745" s="2" t="s">
        <v>59</v>
      </c>
      <c r="D3745" s="2" t="s">
        <v>18</v>
      </c>
      <c r="E3745" s="5">
        <v>-29407</v>
      </c>
      <c r="F3745" s="3" t="s">
        <v>64</v>
      </c>
      <c r="G3745" s="3" t="s">
        <v>33</v>
      </c>
      <c r="H3745" s="2" t="s">
        <v>65</v>
      </c>
      <c r="I3745" s="2" t="s">
        <v>9218</v>
      </c>
      <c r="J3745" s="3" t="str">
        <f>HYPERLINK("https://www.boe.es/gazeta/dias/1819/06/26/pdfs/GMD-1819-77.pdf#page=6","Abrir facsímil")</f>
        <v>Abrir facsímil</v>
      </c>
      <c r="K3745" s="3" t="s">
        <v>67</v>
      </c>
    </row>
    <row r="3746" spans="1:11" ht="42" customHeight="1">
      <c r="A3746" s="2" t="s">
        <v>9219</v>
      </c>
      <c r="B3746" s="2" t="s">
        <v>9220</v>
      </c>
      <c r="C3746" s="2" t="s">
        <v>63</v>
      </c>
      <c r="D3746" s="2" t="s">
        <v>43</v>
      </c>
      <c r="E3746" s="5">
        <v>-29507</v>
      </c>
      <c r="F3746" s="3" t="s">
        <v>1928</v>
      </c>
      <c r="G3746" s="3" t="s">
        <v>28</v>
      </c>
      <c r="H3746" s="2" t="s">
        <v>65</v>
      </c>
      <c r="I3746" s="2" t="s">
        <v>9221</v>
      </c>
      <c r="J3746" s="3" t="str">
        <f>HYPERLINK("https://www.boe.es/gazeta/dias/1819/03/18/pdfs/GMD-1819-33.pdf#page=8","Abrir facsímil")</f>
        <v>Abrir facsímil</v>
      </c>
      <c r="K3746" s="3" t="s">
        <v>67</v>
      </c>
    </row>
    <row r="3747" spans="1:11" ht="42" customHeight="1">
      <c r="A3747" s="2" t="s">
        <v>9222</v>
      </c>
      <c r="B3747" s="2" t="s">
        <v>9223</v>
      </c>
      <c r="C3747" s="2" t="s">
        <v>80</v>
      </c>
      <c r="D3747" s="2" t="s">
        <v>81</v>
      </c>
      <c r="E3747" s="5">
        <v>-29572</v>
      </c>
      <c r="F3747" s="3" t="s">
        <v>589</v>
      </c>
      <c r="G3747" s="3" t="s">
        <v>2934</v>
      </c>
      <c r="H3747" s="2" t="s">
        <v>65</v>
      </c>
      <c r="I3747" s="2" t="s">
        <v>9224</v>
      </c>
      <c r="J3747" s="3" t="str">
        <f>HYPERLINK("https://www.boe.es/gazeta/dias/1819/01/12/pdfs/GMD-1819-5.pdf#page=5","Abrir facsímil")</f>
        <v>Abrir facsímil</v>
      </c>
      <c r="K3747" s="3" t="s">
        <v>67</v>
      </c>
    </row>
    <row r="3748" spans="1:11" ht="42" customHeight="1">
      <c r="A3748" s="2" t="s">
        <v>9222</v>
      </c>
      <c r="B3748" s="2" t="s">
        <v>9223</v>
      </c>
      <c r="C3748" s="2" t="s">
        <v>80</v>
      </c>
      <c r="D3748" s="2" t="s">
        <v>81</v>
      </c>
      <c r="E3748" s="5">
        <v>-29572</v>
      </c>
      <c r="F3748" s="3" t="s">
        <v>589</v>
      </c>
      <c r="G3748" s="3" t="s">
        <v>33</v>
      </c>
      <c r="H3748" s="2" t="s">
        <v>65</v>
      </c>
      <c r="I3748" s="2" t="s">
        <v>9225</v>
      </c>
      <c r="J3748" s="3" t="str">
        <f>HYPERLINK("https://www.boe.es/gazeta/dias/1819/01/12/pdfs/GMD-1819-5.pdf#page=6","Abrir facsímil")</f>
        <v>Abrir facsímil</v>
      </c>
      <c r="K3748" s="3" t="s">
        <v>67</v>
      </c>
    </row>
    <row r="3749" spans="1:11" ht="42" customHeight="1">
      <c r="A3749" s="2" t="s">
        <v>9222</v>
      </c>
      <c r="B3749" s="2" t="s">
        <v>9223</v>
      </c>
      <c r="C3749" s="2" t="s">
        <v>80</v>
      </c>
      <c r="D3749" s="2" t="s">
        <v>81</v>
      </c>
      <c r="E3749" s="5">
        <v>-29304</v>
      </c>
      <c r="F3749" s="3" t="s">
        <v>519</v>
      </c>
      <c r="G3749" s="3" t="s">
        <v>552</v>
      </c>
      <c r="H3749" s="2" t="s">
        <v>65</v>
      </c>
      <c r="I3749" s="2" t="s">
        <v>9226</v>
      </c>
      <c r="J3749" s="3" t="str">
        <f>HYPERLINK("https://www.boe.es/gazeta/dias/1819/10/07/pdfs/GMD-1819-123.pdf#page=6","Abrir facsímil")</f>
        <v>Abrir facsímil</v>
      </c>
      <c r="K3749" s="3" t="s">
        <v>67</v>
      </c>
    </row>
    <row r="3750" spans="1:11" ht="42" customHeight="1">
      <c r="A3750" s="2" t="s">
        <v>9227</v>
      </c>
      <c r="B3750" s="2" t="s">
        <v>9228</v>
      </c>
      <c r="C3750" s="2" t="s">
        <v>215</v>
      </c>
      <c r="D3750" s="2" t="s">
        <v>18</v>
      </c>
      <c r="E3750" s="5">
        <v>-29521</v>
      </c>
      <c r="F3750" s="3" t="s">
        <v>1002</v>
      </c>
      <c r="G3750" s="3" t="s">
        <v>33</v>
      </c>
      <c r="H3750" s="2" t="s">
        <v>21</v>
      </c>
      <c r="I3750" s="2" t="s">
        <v>9229</v>
      </c>
      <c r="J3750" s="3" t="str">
        <f>HYPERLINK("https://www.boe.es/gazeta/dias/1819/03/04/pdfs/GMD-1819-27.pdf#page=6","Abrir facsímil")</f>
        <v>Abrir facsímil</v>
      </c>
      <c r="K3750" s="3" t="s">
        <v>23</v>
      </c>
    </row>
    <row r="3751" spans="1:11" ht="42" customHeight="1">
      <c r="A3751" s="2" t="s">
        <v>9230</v>
      </c>
      <c r="B3751" s="2" t="s">
        <v>9231</v>
      </c>
      <c r="C3751" s="2" t="s">
        <v>80</v>
      </c>
      <c r="D3751" s="2" t="s">
        <v>81</v>
      </c>
      <c r="E3751" s="5">
        <v>-29264</v>
      </c>
      <c r="F3751" s="3" t="s">
        <v>37</v>
      </c>
      <c r="G3751" s="3" t="s">
        <v>20</v>
      </c>
      <c r="H3751" s="2" t="s">
        <v>65</v>
      </c>
      <c r="I3751" s="2" t="s">
        <v>9232</v>
      </c>
      <c r="J3751" s="3" t="str">
        <f>HYPERLINK("https://www.boe.es/gazeta/dias/1819/11/16/pdfs/GMD-1819-141.pdf#page=10","Abrir facsímil")</f>
        <v>Abrir facsímil</v>
      </c>
      <c r="K3751" s="3" t="s">
        <v>67</v>
      </c>
    </row>
    <row r="3752" spans="1:11" ht="42" customHeight="1">
      <c r="A3752" s="2" t="s">
        <v>9233</v>
      </c>
      <c r="B3752" s="2" t="s">
        <v>9234</v>
      </c>
      <c r="C3752" s="2" t="s">
        <v>80</v>
      </c>
      <c r="D3752" s="2" t="s">
        <v>81</v>
      </c>
      <c r="E3752" s="5">
        <v>-29264</v>
      </c>
      <c r="F3752" s="3" t="s">
        <v>37</v>
      </c>
      <c r="G3752" s="3" t="s">
        <v>20</v>
      </c>
      <c r="H3752" s="2" t="s">
        <v>65</v>
      </c>
      <c r="I3752" s="2" t="s">
        <v>9235</v>
      </c>
      <c r="J3752" s="3" t="str">
        <f>HYPERLINK("https://www.boe.es/gazeta/dias/1819/11/16/pdfs/GMD-1819-141.pdf#page=10","Abrir facsímil")</f>
        <v>Abrir facsímil</v>
      </c>
      <c r="K3752" s="3" t="s">
        <v>67</v>
      </c>
    </row>
    <row r="3753" spans="1:11" ht="42" customHeight="1">
      <c r="A3753" s="2" t="s">
        <v>9236</v>
      </c>
      <c r="B3753" s="2" t="s">
        <v>9237</v>
      </c>
      <c r="C3753" s="2" t="s">
        <v>63</v>
      </c>
      <c r="D3753" s="2" t="s">
        <v>43</v>
      </c>
      <c r="E3753" s="5">
        <v>-29439</v>
      </c>
      <c r="F3753" s="3" t="s">
        <v>1101</v>
      </c>
      <c r="G3753" s="3" t="s">
        <v>33</v>
      </c>
      <c r="H3753" s="2" t="s">
        <v>65</v>
      </c>
      <c r="I3753" s="2" t="s">
        <v>9238</v>
      </c>
      <c r="J3753" s="3" t="str">
        <f>HYPERLINK("https://www.boe.es/gazeta/dias/1819/05/25/pdfs/GMD-1819-62.pdf#page=6","Abrir facsímil")</f>
        <v>Abrir facsímil</v>
      </c>
      <c r="K3753" s="3" t="s">
        <v>67</v>
      </c>
    </row>
    <row r="3754" spans="1:11" ht="42" customHeight="1">
      <c r="A3754" s="2" t="s">
        <v>9239</v>
      </c>
      <c r="B3754" s="2" t="s">
        <v>9240</v>
      </c>
      <c r="C3754" s="2" t="s">
        <v>63</v>
      </c>
      <c r="D3754" s="2" t="s">
        <v>43</v>
      </c>
      <c r="E3754" s="5">
        <v>-29278</v>
      </c>
      <c r="F3754" s="3" t="s">
        <v>1950</v>
      </c>
      <c r="G3754" s="3" t="s">
        <v>33</v>
      </c>
      <c r="H3754" s="2" t="s">
        <v>65</v>
      </c>
      <c r="I3754" s="2" t="s">
        <v>9241</v>
      </c>
      <c r="J3754" s="3" t="str">
        <f>HYPERLINK("https://www.boe.es/gazeta/dias/1819/11/02/pdfs/GMD-1819-135.pdf#page=6","Abrir facsímil")</f>
        <v>Abrir facsímil</v>
      </c>
      <c r="K3754" s="3" t="s">
        <v>67</v>
      </c>
    </row>
    <row r="3755" spans="1:11" ht="42" customHeight="1">
      <c r="A3755" s="2" t="s">
        <v>9242</v>
      </c>
      <c r="B3755" s="2" t="s">
        <v>9243</v>
      </c>
      <c r="C3755" s="2" t="s">
        <v>80</v>
      </c>
      <c r="D3755" s="2" t="s">
        <v>81</v>
      </c>
      <c r="E3755" s="5">
        <v>-29460</v>
      </c>
      <c r="F3755" s="3" t="s">
        <v>1534</v>
      </c>
      <c r="G3755" s="3" t="s">
        <v>4455</v>
      </c>
      <c r="H3755" s="2" t="s">
        <v>65</v>
      </c>
      <c r="I3755" s="2" t="s">
        <v>9244</v>
      </c>
      <c r="J3755" s="3" t="str">
        <f>HYPERLINK("https://www.boe.es/gazeta/dias/1819/05/04/pdfs/GMD-1819-53.pdf#page=5","Abrir facsímil")</f>
        <v>Abrir facsímil</v>
      </c>
      <c r="K3755" s="3" t="s">
        <v>67</v>
      </c>
    </row>
    <row r="3756" spans="1:11" ht="42" customHeight="1">
      <c r="A3756" s="2" t="s">
        <v>9242</v>
      </c>
      <c r="B3756" s="2" t="s">
        <v>9243</v>
      </c>
      <c r="C3756" s="2" t="s">
        <v>63</v>
      </c>
      <c r="D3756" s="2" t="s">
        <v>43</v>
      </c>
      <c r="E3756" s="5">
        <v>-29428</v>
      </c>
      <c r="F3756" s="3" t="s">
        <v>730</v>
      </c>
      <c r="G3756" s="3" t="s">
        <v>55</v>
      </c>
      <c r="H3756" s="2" t="s">
        <v>65</v>
      </c>
      <c r="I3756" s="2" t="s">
        <v>9245</v>
      </c>
      <c r="J3756" s="3" t="str">
        <f>HYPERLINK("https://www.boe.es/gazeta/dias/1819/06/05/pdfs/GMD-1819-67.pdf#page=7","Abrir facsímil")</f>
        <v>Abrir facsímil</v>
      </c>
      <c r="K3756" s="3" t="s">
        <v>67</v>
      </c>
    </row>
    <row r="3757" spans="1:11" ht="42" customHeight="1">
      <c r="A3757" s="2" t="s">
        <v>9242</v>
      </c>
      <c r="B3757" s="2" t="s">
        <v>9243</v>
      </c>
      <c r="C3757" s="2" t="s">
        <v>63</v>
      </c>
      <c r="D3757" s="2" t="s">
        <v>43</v>
      </c>
      <c r="E3757" s="5">
        <v>-29409</v>
      </c>
      <c r="F3757" s="3" t="s">
        <v>106</v>
      </c>
      <c r="G3757" s="3" t="s">
        <v>296</v>
      </c>
      <c r="H3757" s="2" t="s">
        <v>65</v>
      </c>
      <c r="I3757" s="2" t="s">
        <v>9246</v>
      </c>
      <c r="J3757" s="3" t="str">
        <f>HYPERLINK("https://www.boe.es/gazeta/dias/1819/06/24/pdfs/GMD-1819-76.pdf#page=4","Abrir facsímil")</f>
        <v>Abrir facsímil</v>
      </c>
      <c r="K3757" s="3" t="s">
        <v>67</v>
      </c>
    </row>
    <row r="3758" spans="1:11" ht="42" customHeight="1">
      <c r="A3758" s="2" t="s">
        <v>9242</v>
      </c>
      <c r="B3758" s="2" t="s">
        <v>9243</v>
      </c>
      <c r="C3758" s="2" t="s">
        <v>63</v>
      </c>
      <c r="D3758" s="2" t="s">
        <v>43</v>
      </c>
      <c r="E3758" s="5">
        <v>-29348</v>
      </c>
      <c r="F3758" s="3" t="s">
        <v>227</v>
      </c>
      <c r="G3758" s="3" t="s">
        <v>55</v>
      </c>
      <c r="H3758" s="2" t="s">
        <v>65</v>
      </c>
      <c r="I3758" s="2" t="s">
        <v>9247</v>
      </c>
      <c r="J3758" s="3" t="str">
        <f>HYPERLINK("https://www.boe.es/gazeta/dias/1819/08/24/pdfs/GMD-1819-102.pdf#page=7","Abrir facsímil")</f>
        <v>Abrir facsímil</v>
      </c>
      <c r="K3758" s="3" t="s">
        <v>67</v>
      </c>
    </row>
    <row r="3759" spans="1:11" ht="42" customHeight="1">
      <c r="A3759" s="2" t="s">
        <v>9248</v>
      </c>
      <c r="B3759" s="2" t="s">
        <v>9249</v>
      </c>
      <c r="C3759" s="2" t="s">
        <v>80</v>
      </c>
      <c r="D3759" s="2" t="s">
        <v>81</v>
      </c>
      <c r="E3759" s="5">
        <v>-29456</v>
      </c>
      <c r="F3759" s="3" t="s">
        <v>468</v>
      </c>
      <c r="G3759" s="3" t="s">
        <v>33</v>
      </c>
      <c r="H3759" s="2" t="s">
        <v>65</v>
      </c>
      <c r="I3759" s="2" t="s">
        <v>9250</v>
      </c>
      <c r="J3759" s="3" t="str">
        <f>HYPERLINK("https://www.boe.es/gazeta/dias/1819/05/08/pdfs/GMD-1819-55.pdf#page=6","Abrir facsímil")</f>
        <v>Abrir facsímil</v>
      </c>
      <c r="K3759" s="3" t="s">
        <v>67</v>
      </c>
    </row>
    <row r="3760" spans="1:11" ht="42" customHeight="1">
      <c r="A3760" s="2" t="s">
        <v>9251</v>
      </c>
      <c r="B3760" s="2" t="s">
        <v>9252</v>
      </c>
      <c r="C3760" s="2" t="s">
        <v>80</v>
      </c>
      <c r="D3760" s="2" t="s">
        <v>81</v>
      </c>
      <c r="E3760" s="5">
        <v>-29582</v>
      </c>
      <c r="F3760" s="3" t="s">
        <v>376</v>
      </c>
      <c r="G3760" s="3" t="s">
        <v>544</v>
      </c>
      <c r="H3760" s="2" t="s">
        <v>65</v>
      </c>
      <c r="I3760" s="2" t="s">
        <v>9253</v>
      </c>
      <c r="J3760" s="3" t="str">
        <f>HYPERLINK("https://www.boe.es/gazeta/dias/1819/01/02/pdfs/GMD-1819-1.pdf#page=6","Abrir facsímil")</f>
        <v>Abrir facsímil</v>
      </c>
      <c r="K3760" s="3" t="s">
        <v>67</v>
      </c>
    </row>
    <row r="3761" spans="1:11" ht="42" customHeight="1">
      <c r="A3761" s="2" t="s">
        <v>9254</v>
      </c>
      <c r="B3761" s="2" t="s">
        <v>9255</v>
      </c>
      <c r="C3761" s="2" t="s">
        <v>80</v>
      </c>
      <c r="D3761" s="2" t="s">
        <v>81</v>
      </c>
      <c r="E3761" s="5">
        <v>-29276</v>
      </c>
      <c r="F3761" s="3" t="s">
        <v>54</v>
      </c>
      <c r="G3761" s="3" t="s">
        <v>1107</v>
      </c>
      <c r="H3761" s="2" t="s">
        <v>65</v>
      </c>
      <c r="I3761" s="2" t="s">
        <v>9256</v>
      </c>
      <c r="J3761" s="3" t="str">
        <f>HYPERLINK("https://www.boe.es/gazeta/dias/1819/11/04/pdfs/GMD-1819-136.pdf#page=5","Abrir facsímil")</f>
        <v>Abrir facsímil</v>
      </c>
      <c r="K3761" s="3" t="s">
        <v>67</v>
      </c>
    </row>
    <row r="3762" spans="1:11" ht="42" customHeight="1">
      <c r="A3762" s="2" t="s">
        <v>9257</v>
      </c>
      <c r="B3762" s="2" t="s">
        <v>9258</v>
      </c>
      <c r="C3762" s="2" t="s">
        <v>80</v>
      </c>
      <c r="D3762" s="2" t="s">
        <v>81</v>
      </c>
      <c r="E3762" s="5">
        <v>-29542</v>
      </c>
      <c r="F3762" s="3" t="s">
        <v>607</v>
      </c>
      <c r="G3762" s="3" t="s">
        <v>28</v>
      </c>
      <c r="H3762" s="2" t="s">
        <v>65</v>
      </c>
      <c r="I3762" s="2" t="s">
        <v>9259</v>
      </c>
      <c r="J3762" s="3" t="str">
        <f>HYPERLINK("https://www.boe.es/gazeta/dias/1819/02/11/pdfs/GMD-1819-18.pdf#page=8","Abrir facsímil")</f>
        <v>Abrir facsímil</v>
      </c>
      <c r="K3762" s="3" t="s">
        <v>67</v>
      </c>
    </row>
    <row r="3763" spans="1:11" ht="42" customHeight="1">
      <c r="A3763" s="2" t="s">
        <v>9260</v>
      </c>
      <c r="B3763" s="2" t="s">
        <v>9261</v>
      </c>
      <c r="C3763" s="2" t="s">
        <v>59</v>
      </c>
      <c r="D3763" s="2" t="s">
        <v>18</v>
      </c>
      <c r="E3763" s="5">
        <v>-29537</v>
      </c>
      <c r="F3763" s="3" t="s">
        <v>593</v>
      </c>
      <c r="G3763" s="3" t="s">
        <v>456</v>
      </c>
      <c r="H3763" s="2" t="s">
        <v>21</v>
      </c>
      <c r="I3763" s="2" t="s">
        <v>9262</v>
      </c>
      <c r="J3763" s="3" t="str">
        <f>HYPERLINK("https://www.boe.es/gazeta/dias/1819/02/16/pdfs/GMD-1819-20.pdf#page=9","Abrir facsímil")</f>
        <v>Abrir facsímil</v>
      </c>
      <c r="K3763" s="3" t="s">
        <v>23</v>
      </c>
    </row>
    <row r="3764" spans="1:11" ht="42" customHeight="1">
      <c r="A3764" s="2" t="s">
        <v>9263</v>
      </c>
      <c r="B3764" s="2" t="s">
        <v>9264</v>
      </c>
      <c r="C3764" s="2" t="s">
        <v>80</v>
      </c>
      <c r="D3764" s="2" t="s">
        <v>81</v>
      </c>
      <c r="E3764" s="5">
        <v>-29575</v>
      </c>
      <c r="F3764" s="3" t="s">
        <v>77</v>
      </c>
      <c r="G3764" s="3" t="s">
        <v>38</v>
      </c>
      <c r="H3764" s="2" t="s">
        <v>65</v>
      </c>
      <c r="I3764" s="2" t="s">
        <v>9265</v>
      </c>
      <c r="J3764" s="3" t="str">
        <f>HYPERLINK("https://www.boe.es/gazeta/dias/1819/01/09/pdfs/GMD-1819-4.pdf#page=5","Abrir facsímil")</f>
        <v>Abrir facsímil</v>
      </c>
      <c r="K3764" s="3" t="s">
        <v>67</v>
      </c>
    </row>
    <row r="3765" spans="1:11" ht="42" customHeight="1">
      <c r="A3765" s="2" t="s">
        <v>9266</v>
      </c>
      <c r="B3765" s="2" t="s">
        <v>9267</v>
      </c>
      <c r="C3765" s="2" t="s">
        <v>26</v>
      </c>
      <c r="D3765" s="2" t="s">
        <v>18</v>
      </c>
      <c r="E3765" s="5">
        <v>-29269</v>
      </c>
      <c r="F3765" s="3" t="s">
        <v>565</v>
      </c>
      <c r="G3765" s="3" t="s">
        <v>296</v>
      </c>
      <c r="H3765" s="2" t="s">
        <v>65</v>
      </c>
      <c r="I3765" s="2" t="s">
        <v>9268</v>
      </c>
      <c r="J3765" s="3" t="str">
        <f>HYPERLINK("https://www.boe.es/gazeta/dias/1819/11/11/pdfs/GMD-1819-139.pdf#page=4","Abrir facsímil")</f>
        <v>Abrir facsímil</v>
      </c>
      <c r="K3765" s="3" t="s">
        <v>67</v>
      </c>
    </row>
    <row r="3766" spans="1:11" ht="42" customHeight="1">
      <c r="A3766" s="2" t="s">
        <v>9269</v>
      </c>
      <c r="B3766" s="2" t="s">
        <v>9270</v>
      </c>
      <c r="C3766" s="2" t="s">
        <v>80</v>
      </c>
      <c r="D3766" s="2" t="s">
        <v>81</v>
      </c>
      <c r="E3766" s="5">
        <v>-29575</v>
      </c>
      <c r="F3766" s="3" t="s">
        <v>77</v>
      </c>
      <c r="G3766" s="3" t="s">
        <v>55</v>
      </c>
      <c r="H3766" s="2" t="s">
        <v>65</v>
      </c>
      <c r="I3766" s="2" t="s">
        <v>9271</v>
      </c>
      <c r="J3766" s="3" t="str">
        <f>HYPERLINK("https://www.boe.es/gazeta/dias/1819/01/09/pdfs/GMD-1819-4.pdf#page=7","Abrir facsímil")</f>
        <v>Abrir facsímil</v>
      </c>
      <c r="K3766" s="3" t="s">
        <v>67</v>
      </c>
    </row>
    <row r="3767" spans="1:11" ht="42" customHeight="1">
      <c r="A3767" s="2" t="s">
        <v>9272</v>
      </c>
      <c r="B3767" s="2" t="s">
        <v>9273</v>
      </c>
      <c r="C3767" s="2" t="s">
        <v>17</v>
      </c>
      <c r="D3767" s="2" t="s">
        <v>18</v>
      </c>
      <c r="E3767" s="5">
        <v>-29313</v>
      </c>
      <c r="F3767" s="3" t="s">
        <v>129</v>
      </c>
      <c r="G3767" s="3" t="s">
        <v>55</v>
      </c>
      <c r="H3767" s="2" t="s">
        <v>65</v>
      </c>
      <c r="I3767" s="2" t="s">
        <v>9274</v>
      </c>
      <c r="J3767" s="3" t="str">
        <f>HYPERLINK("https://www.boe.es/gazeta/dias/1819/09/28/pdfs/GMD-1819-119.pdf#page=7","Abrir facsímil")</f>
        <v>Abrir facsímil</v>
      </c>
      <c r="K3767" s="3" t="s">
        <v>67</v>
      </c>
    </row>
    <row r="3768" spans="1:11" ht="42" customHeight="1">
      <c r="A3768" s="2" t="s">
        <v>9272</v>
      </c>
      <c r="B3768" s="2" t="s">
        <v>9273</v>
      </c>
      <c r="C3768" s="2" t="s">
        <v>26</v>
      </c>
      <c r="D3768" s="2" t="s">
        <v>18</v>
      </c>
      <c r="E3768" s="5">
        <v>-29236</v>
      </c>
      <c r="F3768" s="3" t="s">
        <v>379</v>
      </c>
      <c r="G3768" s="3" t="s">
        <v>55</v>
      </c>
      <c r="H3768" s="2" t="s">
        <v>65</v>
      </c>
      <c r="I3768" s="2" t="s">
        <v>9275</v>
      </c>
      <c r="J3768" s="3" t="str">
        <f>HYPERLINK("https://www.boe.es/gazeta/dias/1819/12/14/pdfs/GMD-1819-153.pdf#page=7","Abrir facsímil")</f>
        <v>Abrir facsímil</v>
      </c>
      <c r="K3768" s="3" t="s">
        <v>67</v>
      </c>
    </row>
    <row r="3769" spans="1:11" ht="42" customHeight="1">
      <c r="A3769" s="2" t="s">
        <v>9276</v>
      </c>
      <c r="B3769" s="2" t="s">
        <v>9277</v>
      </c>
      <c r="C3769" s="2" t="s">
        <v>63</v>
      </c>
      <c r="D3769" s="2" t="s">
        <v>43</v>
      </c>
      <c r="E3769" s="5">
        <v>-29521</v>
      </c>
      <c r="F3769" s="3" t="s">
        <v>1002</v>
      </c>
      <c r="G3769" s="3" t="s">
        <v>33</v>
      </c>
      <c r="H3769" s="2" t="s">
        <v>65</v>
      </c>
      <c r="I3769" s="2" t="s">
        <v>9278</v>
      </c>
      <c r="J3769" s="3" t="str">
        <f>HYPERLINK("https://www.boe.es/gazeta/dias/1819/03/04/pdfs/GMD-1819-27.pdf#page=6","Abrir facsímil")</f>
        <v>Abrir facsímil</v>
      </c>
      <c r="K3769" s="3" t="s">
        <v>67</v>
      </c>
    </row>
    <row r="3770" spans="1:11" ht="42" customHeight="1">
      <c r="A3770" s="2" t="s">
        <v>9279</v>
      </c>
      <c r="B3770" s="2" t="s">
        <v>9280</v>
      </c>
      <c r="C3770" s="2" t="s">
        <v>63</v>
      </c>
      <c r="D3770" s="2" t="s">
        <v>43</v>
      </c>
      <c r="E3770" s="5">
        <v>-29528</v>
      </c>
      <c r="F3770" s="3" t="s">
        <v>708</v>
      </c>
      <c r="G3770" s="3" t="s">
        <v>28</v>
      </c>
      <c r="H3770" s="2" t="s">
        <v>65</v>
      </c>
      <c r="I3770" s="2" t="s">
        <v>9281</v>
      </c>
      <c r="J3770" s="3" t="str">
        <f>HYPERLINK("https://www.boe.es/gazeta/dias/1819/02/25/pdfs/GMD-1819-24.pdf#page=8","Abrir facsímil")</f>
        <v>Abrir facsímil</v>
      </c>
      <c r="K3770" s="3" t="s">
        <v>67</v>
      </c>
    </row>
    <row r="3771" spans="1:11" ht="42" customHeight="1">
      <c r="A3771" s="2" t="s">
        <v>9282</v>
      </c>
      <c r="B3771" s="2" t="s">
        <v>9283</v>
      </c>
      <c r="C3771" s="2" t="s">
        <v>80</v>
      </c>
      <c r="D3771" s="2" t="s">
        <v>81</v>
      </c>
      <c r="E3771" s="5">
        <v>-29372</v>
      </c>
      <c r="F3771" s="3" t="s">
        <v>715</v>
      </c>
      <c r="G3771" s="3" t="s">
        <v>716</v>
      </c>
      <c r="H3771" s="2" t="s">
        <v>65</v>
      </c>
      <c r="I3771" s="2" t="s">
        <v>9284</v>
      </c>
      <c r="J3771" s="3" t="str">
        <f>HYPERLINK("https://www.boe.es/gazeta/dias/1819/07/31/pdfs/GMD-1819-92.pdf#page=5","Abrir facsímil")</f>
        <v>Abrir facsímil</v>
      </c>
      <c r="K3771" s="3" t="s">
        <v>67</v>
      </c>
    </row>
    <row r="3772" spans="1:11" ht="42" customHeight="1">
      <c r="A3772" s="2" t="s">
        <v>9285</v>
      </c>
      <c r="B3772" s="2" t="s">
        <v>9285</v>
      </c>
      <c r="C3772" s="2" t="s">
        <v>246</v>
      </c>
      <c r="D3772" s="2" t="s">
        <v>18</v>
      </c>
      <c r="E3772" s="5">
        <v>-29267</v>
      </c>
      <c r="F3772" s="3" t="s">
        <v>370</v>
      </c>
      <c r="G3772" s="3" t="s">
        <v>296</v>
      </c>
      <c r="H3772" s="2" t="s">
        <v>65</v>
      </c>
      <c r="I3772" s="2" t="s">
        <v>9286</v>
      </c>
      <c r="J3772" s="3" t="str">
        <f>HYPERLINK("https://www.boe.es/gazeta/dias/1819/11/13/pdfs/GMD-1819-140.pdf#page=4","Abrir facsímil")</f>
        <v>Abrir facsímil</v>
      </c>
      <c r="K3772" s="3" t="s">
        <v>67</v>
      </c>
    </row>
    <row r="3773" spans="1:11" ht="42" customHeight="1">
      <c r="A3773" s="2" t="s">
        <v>9287</v>
      </c>
      <c r="B3773" s="2" t="s">
        <v>9287</v>
      </c>
      <c r="C3773" s="2" t="s">
        <v>136</v>
      </c>
      <c r="D3773" s="2" t="s">
        <v>18</v>
      </c>
      <c r="E3773" s="5">
        <v>-29486</v>
      </c>
      <c r="F3773" s="3" t="s">
        <v>330</v>
      </c>
      <c r="G3773" s="3" t="s">
        <v>296</v>
      </c>
      <c r="H3773" s="2" t="s">
        <v>65</v>
      </c>
      <c r="I3773" s="2" t="s">
        <v>9288</v>
      </c>
      <c r="J3773" s="3" t="str">
        <f>HYPERLINK("https://www.boe.es/gazeta/dias/1819/04/08/pdfs/GMD-1819-42.pdf#page=4","Abrir facsímil")</f>
        <v>Abrir facsímil</v>
      </c>
      <c r="K3773" s="3" t="s">
        <v>67</v>
      </c>
    </row>
    <row r="3774" spans="1:11" ht="42" customHeight="1">
      <c r="A3774" s="2" t="s">
        <v>9289</v>
      </c>
      <c r="B3774" s="2" t="s">
        <v>9289</v>
      </c>
      <c r="C3774" s="2" t="s">
        <v>80</v>
      </c>
      <c r="D3774" s="2" t="s">
        <v>81</v>
      </c>
      <c r="E3774" s="5">
        <v>-29502</v>
      </c>
      <c r="F3774" s="3" t="s">
        <v>86</v>
      </c>
      <c r="G3774" s="3" t="s">
        <v>2658</v>
      </c>
      <c r="H3774" s="2" t="s">
        <v>65</v>
      </c>
      <c r="I3774" s="2" t="s">
        <v>9290</v>
      </c>
      <c r="J3774" s="3" t="str">
        <f>HYPERLINK("https://www.boe.es/gazeta/dias/1819/03/23/pdfs/GMD-1819-35.pdf#page=4","Abrir facsímil")</f>
        <v>Abrir facsímil</v>
      </c>
      <c r="K3774" s="3" t="s">
        <v>67</v>
      </c>
    </row>
    <row r="3775" spans="1:11" ht="42" customHeight="1">
      <c r="A3775" s="2" t="s">
        <v>9291</v>
      </c>
      <c r="B3775" s="2" t="s">
        <v>9292</v>
      </c>
      <c r="C3775" s="2" t="s">
        <v>59</v>
      </c>
      <c r="D3775" s="2" t="s">
        <v>18</v>
      </c>
      <c r="E3775" s="5">
        <v>-29234</v>
      </c>
      <c r="F3775" s="3" t="s">
        <v>343</v>
      </c>
      <c r="G3775" s="3" t="s">
        <v>55</v>
      </c>
      <c r="H3775" s="2" t="s">
        <v>65</v>
      </c>
      <c r="I3775" s="2" t="s">
        <v>9293</v>
      </c>
      <c r="J3775" s="3" t="str">
        <f>HYPERLINK("https://www.boe.es/gazeta/dias/1819/12/16/pdfs/GMD-1819-154.pdf#page=7","Abrir facsímil")</f>
        <v>Abrir facsímil</v>
      </c>
      <c r="K3775" s="3" t="s">
        <v>67</v>
      </c>
    </row>
    <row r="3776" spans="1:11" ht="42" customHeight="1">
      <c r="A3776" s="2" t="s">
        <v>9294</v>
      </c>
      <c r="B3776" s="2" t="s">
        <v>9295</v>
      </c>
      <c r="C3776" s="2" t="s">
        <v>80</v>
      </c>
      <c r="D3776" s="2" t="s">
        <v>81</v>
      </c>
      <c r="E3776" s="5">
        <v>-29402</v>
      </c>
      <c r="F3776" s="3" t="s">
        <v>1091</v>
      </c>
      <c r="G3776" s="3" t="s">
        <v>28</v>
      </c>
      <c r="H3776" s="2" t="s">
        <v>65</v>
      </c>
      <c r="I3776" s="2" t="s">
        <v>9296</v>
      </c>
      <c r="J3776" s="3" t="str">
        <f>HYPERLINK("https://www.boe.es/gazeta/dias/1819/07/01/pdfs/GMD-1819-79.pdf#page=8","Abrir facsímil")</f>
        <v>Abrir facsímil</v>
      </c>
      <c r="K3776" s="3" t="s">
        <v>67</v>
      </c>
    </row>
    <row r="3777" spans="1:11" ht="42" customHeight="1">
      <c r="A3777" s="2" t="s">
        <v>9297</v>
      </c>
      <c r="B3777" s="2" t="s">
        <v>9298</v>
      </c>
      <c r="C3777" s="2" t="s">
        <v>59</v>
      </c>
      <c r="D3777" s="2" t="s">
        <v>18</v>
      </c>
      <c r="E3777" s="5">
        <v>-29325</v>
      </c>
      <c r="F3777" s="3" t="s">
        <v>174</v>
      </c>
      <c r="G3777" s="3" t="s">
        <v>33</v>
      </c>
      <c r="H3777" s="2" t="s">
        <v>65</v>
      </c>
      <c r="I3777" s="2" t="s">
        <v>9299</v>
      </c>
      <c r="J3777" s="3" t="str">
        <f>HYPERLINK("https://www.boe.es/gazeta/dias/1819/09/16/pdfs/GMD-1819-113.pdf#page=6","Abrir facsímil")</f>
        <v>Abrir facsímil</v>
      </c>
      <c r="K3777" s="3" t="s">
        <v>67</v>
      </c>
    </row>
    <row r="3778" spans="1:11" ht="42" customHeight="1">
      <c r="A3778" s="2" t="s">
        <v>9300</v>
      </c>
      <c r="B3778" s="2" t="s">
        <v>9301</v>
      </c>
      <c r="C3778" s="2" t="s">
        <v>80</v>
      </c>
      <c r="D3778" s="2" t="s">
        <v>454</v>
      </c>
      <c r="E3778" s="5">
        <v>-29287</v>
      </c>
      <c r="F3778" s="3" t="s">
        <v>455</v>
      </c>
      <c r="G3778" s="3" t="s">
        <v>456</v>
      </c>
      <c r="H3778" s="2" t="s">
        <v>65</v>
      </c>
      <c r="I3778" s="2" t="s">
        <v>9302</v>
      </c>
      <c r="J3778" s="3" t="str">
        <f>HYPERLINK("https://www.boe.es/gazeta/dias/1819/10/24/pdfs/GMD-1819-131E.pdf#page=9","Abrir facsímil")</f>
        <v>Abrir facsímil</v>
      </c>
      <c r="K3778" s="3" t="s">
        <v>67</v>
      </c>
    </row>
    <row r="3779" spans="1:11" ht="42" customHeight="1">
      <c r="A3779" s="2" t="s">
        <v>9303</v>
      </c>
      <c r="B3779" s="2" t="s">
        <v>9304</v>
      </c>
      <c r="C3779" s="2" t="s">
        <v>17</v>
      </c>
      <c r="D3779" s="2" t="s">
        <v>18</v>
      </c>
      <c r="E3779" s="5">
        <v>-29367</v>
      </c>
      <c r="F3779" s="3" t="s">
        <v>571</v>
      </c>
      <c r="G3779" s="3" t="s">
        <v>28</v>
      </c>
      <c r="H3779" s="2" t="s">
        <v>21</v>
      </c>
      <c r="I3779" s="2" t="s">
        <v>9305</v>
      </c>
      <c r="J3779" s="3" t="str">
        <f>HYPERLINK("https://www.boe.es/gazeta/dias/1819/08/05/pdfs/GMD-1819-94.pdf#page=8","Abrir facsímil")</f>
        <v>Abrir facsímil</v>
      </c>
      <c r="K3779" s="3" t="s">
        <v>23</v>
      </c>
    </row>
    <row r="3780" spans="1:11" ht="42" customHeight="1">
      <c r="A3780" s="2" t="s">
        <v>9306</v>
      </c>
      <c r="B3780" s="2" t="s">
        <v>9307</v>
      </c>
      <c r="C3780" s="2" t="s">
        <v>63</v>
      </c>
      <c r="D3780" s="2" t="s">
        <v>43</v>
      </c>
      <c r="E3780" s="5">
        <v>-29572</v>
      </c>
      <c r="F3780" s="3" t="s">
        <v>589</v>
      </c>
      <c r="G3780" s="3" t="s">
        <v>590</v>
      </c>
      <c r="H3780" s="2" t="s">
        <v>65</v>
      </c>
      <c r="I3780" s="2" t="s">
        <v>9308</v>
      </c>
      <c r="J3780" s="3" t="str">
        <f>HYPERLINK("https://www.boe.es/gazeta/dias/1819/01/12/pdfs/GMD-1819-5.pdf#page=8","Abrir facsímil")</f>
        <v>Abrir facsímil</v>
      </c>
      <c r="K3780" s="3" t="s">
        <v>67</v>
      </c>
    </row>
    <row r="3781" spans="1:11" ht="42" customHeight="1">
      <c r="A3781" s="2" t="s">
        <v>9309</v>
      </c>
      <c r="B3781" s="2" t="s">
        <v>9310</v>
      </c>
      <c r="C3781" s="2" t="s">
        <v>59</v>
      </c>
      <c r="D3781" s="2" t="s">
        <v>18</v>
      </c>
      <c r="E3781" s="5">
        <v>-29292</v>
      </c>
      <c r="F3781" s="3" t="s">
        <v>875</v>
      </c>
      <c r="G3781" s="3" t="s">
        <v>28</v>
      </c>
      <c r="H3781" s="2" t="s">
        <v>65</v>
      </c>
      <c r="I3781" s="2" t="s">
        <v>9311</v>
      </c>
      <c r="J3781" s="3" t="str">
        <f>HYPERLINK("https://www.boe.es/gazeta/dias/1819/10/19/pdfs/GMD-1819-128.pdf#page=8","Abrir facsímil")</f>
        <v>Abrir facsímil</v>
      </c>
      <c r="K3781" s="3" t="s">
        <v>67</v>
      </c>
    </row>
    <row r="3782" spans="1:11" ht="42" customHeight="1">
      <c r="A3782" s="2" t="s">
        <v>9312</v>
      </c>
      <c r="B3782" s="2" t="s">
        <v>9313</v>
      </c>
      <c r="C3782" s="2" t="s">
        <v>80</v>
      </c>
      <c r="D3782" s="2" t="s">
        <v>81</v>
      </c>
      <c r="E3782" s="5">
        <v>-29297</v>
      </c>
      <c r="F3782" s="3" t="s">
        <v>82</v>
      </c>
      <c r="G3782" s="3" t="s">
        <v>28</v>
      </c>
      <c r="H3782" s="2" t="s">
        <v>65</v>
      </c>
      <c r="I3782" s="2" t="s">
        <v>9314</v>
      </c>
      <c r="J3782" s="3" t="str">
        <f>HYPERLINK("https://www.boe.es/gazeta/dias/1819/10/14/pdfs/GMD-1819-126.pdf#page=8","Abrir facsímil")</f>
        <v>Abrir facsímil</v>
      </c>
      <c r="K3782" s="3" t="s">
        <v>67</v>
      </c>
    </row>
    <row r="3783" spans="1:11" ht="42" customHeight="1">
      <c r="A3783" s="2" t="s">
        <v>9315</v>
      </c>
      <c r="B3783" s="2" t="s">
        <v>9316</v>
      </c>
      <c r="C3783" s="2" t="s">
        <v>80</v>
      </c>
      <c r="D3783" s="2" t="s">
        <v>81</v>
      </c>
      <c r="E3783" s="5">
        <v>-29316</v>
      </c>
      <c r="F3783" s="3" t="s">
        <v>166</v>
      </c>
      <c r="G3783" s="3" t="s">
        <v>20</v>
      </c>
      <c r="H3783" s="2" t="s">
        <v>65</v>
      </c>
      <c r="I3783" s="2" t="s">
        <v>9317</v>
      </c>
      <c r="J3783" s="3" t="str">
        <f>HYPERLINK("https://www.boe.es/gazeta/dias/1819/09/25/pdfs/GMD-1819-118.pdf#page=10","Abrir facsímil")</f>
        <v>Abrir facsímil</v>
      </c>
      <c r="K3783" s="3" t="s">
        <v>67</v>
      </c>
    </row>
    <row r="3784" spans="1:11" ht="42" customHeight="1">
      <c r="A3784" s="2" t="s">
        <v>9318</v>
      </c>
      <c r="B3784" s="2" t="s">
        <v>9319</v>
      </c>
      <c r="C3784" s="2" t="s">
        <v>63</v>
      </c>
      <c r="D3784" s="2" t="s">
        <v>43</v>
      </c>
      <c r="E3784" s="5">
        <v>-29260</v>
      </c>
      <c r="F3784" s="3" t="s">
        <v>93</v>
      </c>
      <c r="G3784" s="3" t="s">
        <v>138</v>
      </c>
      <c r="H3784" s="2" t="s">
        <v>65</v>
      </c>
      <c r="I3784" s="2" t="s">
        <v>9320</v>
      </c>
      <c r="J3784" s="3" t="str">
        <f>HYPERLINK("https://www.boe.es/gazeta/dias/1819/11/20/pdfs/GMD-1819-143.pdf#page=12","Abrir facsímil")</f>
        <v>Abrir facsímil</v>
      </c>
      <c r="K3784" s="3" t="s">
        <v>67</v>
      </c>
    </row>
    <row r="3785" spans="1:11" ht="42" customHeight="1">
      <c r="A3785" s="2" t="s">
        <v>9321</v>
      </c>
      <c r="B3785" s="2" t="s">
        <v>9322</v>
      </c>
      <c r="C3785" s="2" t="s">
        <v>80</v>
      </c>
      <c r="D3785" s="2" t="s">
        <v>454</v>
      </c>
      <c r="E3785" s="5">
        <v>-29287</v>
      </c>
      <c r="F3785" s="3" t="s">
        <v>455</v>
      </c>
      <c r="G3785" s="3" t="s">
        <v>481</v>
      </c>
      <c r="H3785" s="2" t="s">
        <v>65</v>
      </c>
      <c r="I3785" s="2" t="s">
        <v>9323</v>
      </c>
      <c r="J3785" s="3" t="str">
        <f>HYPERLINK("https://www.boe.es/gazeta/dias/1819/10/24/pdfs/GMD-1819-131E.pdf#page=8","Abrir facsímil")</f>
        <v>Abrir facsímil</v>
      </c>
      <c r="K3785" s="3" t="s">
        <v>67</v>
      </c>
    </row>
    <row r="3786" spans="1:11" ht="42" customHeight="1">
      <c r="A3786" s="2" t="s">
        <v>9324</v>
      </c>
      <c r="B3786" s="2" t="s">
        <v>9325</v>
      </c>
      <c r="C3786" s="2" t="s">
        <v>80</v>
      </c>
      <c r="D3786" s="2" t="s">
        <v>81</v>
      </c>
      <c r="E3786" s="5">
        <v>-29582</v>
      </c>
      <c r="F3786" s="3" t="s">
        <v>376</v>
      </c>
      <c r="G3786" s="3" t="s">
        <v>38</v>
      </c>
      <c r="H3786" s="2" t="s">
        <v>65</v>
      </c>
      <c r="I3786" s="2" t="s">
        <v>9326</v>
      </c>
      <c r="J3786" s="3" t="str">
        <f>HYPERLINK("https://www.boe.es/gazeta/dias/1819/01/02/pdfs/GMD-1819-1.pdf#page=5","Abrir facsímil")</f>
        <v>Abrir facsímil</v>
      </c>
      <c r="K3786" s="3" t="s">
        <v>67</v>
      </c>
    </row>
    <row r="3787" spans="1:11" ht="42" customHeight="1">
      <c r="A3787" s="2" t="s">
        <v>9327</v>
      </c>
      <c r="B3787" s="2" t="s">
        <v>9328</v>
      </c>
      <c r="C3787" s="2" t="s">
        <v>59</v>
      </c>
      <c r="D3787" s="2" t="s">
        <v>18</v>
      </c>
      <c r="E3787" s="5">
        <v>-29575</v>
      </c>
      <c r="F3787" s="3" t="s">
        <v>77</v>
      </c>
      <c r="G3787" s="3" t="s">
        <v>55</v>
      </c>
      <c r="H3787" s="2" t="s">
        <v>65</v>
      </c>
      <c r="I3787" s="2" t="s">
        <v>9329</v>
      </c>
      <c r="J3787" s="3" t="str">
        <f>HYPERLINK("https://www.boe.es/gazeta/dias/1819/01/09/pdfs/GMD-1819-4.pdf#page=7","Abrir facsímil")</f>
        <v>Abrir facsímil</v>
      </c>
      <c r="K3787" s="3" t="s">
        <v>67</v>
      </c>
    </row>
    <row r="3788" spans="1:11" ht="42" customHeight="1">
      <c r="A3788" s="2" t="s">
        <v>9330</v>
      </c>
      <c r="B3788" s="2" t="s">
        <v>9330</v>
      </c>
      <c r="C3788" s="2" t="s">
        <v>80</v>
      </c>
      <c r="D3788" s="2" t="s">
        <v>81</v>
      </c>
      <c r="E3788" s="5">
        <v>-29456</v>
      </c>
      <c r="F3788" s="3" t="s">
        <v>468</v>
      </c>
      <c r="G3788" s="3" t="s">
        <v>259</v>
      </c>
      <c r="H3788" s="2" t="s">
        <v>65</v>
      </c>
      <c r="I3788" s="2" t="s">
        <v>9331</v>
      </c>
      <c r="J3788" s="3" t="str">
        <f>HYPERLINK("https://www.boe.es/gazeta/dias/1819/05/08/pdfs/GMD-1819-55.pdf#page=2","Abrir facsímil")</f>
        <v>Abrir facsímil</v>
      </c>
      <c r="K3788" s="3" t="s">
        <v>67</v>
      </c>
    </row>
    <row r="3789" spans="1:11" ht="42" customHeight="1">
      <c r="A3789" s="2" t="s">
        <v>9332</v>
      </c>
      <c r="B3789" s="2" t="s">
        <v>9333</v>
      </c>
      <c r="C3789" s="2" t="s">
        <v>59</v>
      </c>
      <c r="D3789" s="2" t="s">
        <v>18</v>
      </c>
      <c r="E3789" s="5">
        <v>-29276</v>
      </c>
      <c r="F3789" s="3" t="s">
        <v>54</v>
      </c>
      <c r="G3789" s="3" t="s">
        <v>55</v>
      </c>
      <c r="H3789" s="2" t="s">
        <v>65</v>
      </c>
      <c r="I3789" s="2" t="s">
        <v>9334</v>
      </c>
      <c r="J3789" s="3" t="str">
        <f>HYPERLINK("https://www.boe.es/gazeta/dias/1819/11/04/pdfs/GMD-1819-136.pdf#page=7","Abrir facsímil")</f>
        <v>Abrir facsímil</v>
      </c>
      <c r="K3789" s="3" t="s">
        <v>67</v>
      </c>
    </row>
    <row r="3790" spans="1:11" ht="42" customHeight="1">
      <c r="A3790" s="2" t="s">
        <v>9335</v>
      </c>
      <c r="B3790" s="2" t="s">
        <v>9336</v>
      </c>
      <c r="C3790" s="2" t="s">
        <v>80</v>
      </c>
      <c r="D3790" s="2" t="s">
        <v>81</v>
      </c>
      <c r="E3790" s="5">
        <v>-29365</v>
      </c>
      <c r="F3790" s="3" t="s">
        <v>218</v>
      </c>
      <c r="G3790" s="3" t="s">
        <v>953</v>
      </c>
      <c r="H3790" s="2" t="s">
        <v>65</v>
      </c>
      <c r="I3790" s="2" t="s">
        <v>9337</v>
      </c>
      <c r="J3790" s="3" t="str">
        <f>HYPERLINK("https://www.boe.es/gazeta/dias/1819/08/07/pdfs/GMD-1819-95.pdf#page=7","Abrir facsímil")</f>
        <v>Abrir facsímil</v>
      </c>
      <c r="K3790" s="3" t="s">
        <v>67</v>
      </c>
    </row>
    <row r="3791" spans="1:11" ht="42" customHeight="1">
      <c r="A3791" s="2" t="s">
        <v>9338</v>
      </c>
      <c r="B3791" s="2" t="s">
        <v>9339</v>
      </c>
      <c r="C3791" s="2" t="s">
        <v>17</v>
      </c>
      <c r="D3791" s="2" t="s">
        <v>18</v>
      </c>
      <c r="E3791" s="5">
        <v>-29304</v>
      </c>
      <c r="F3791" s="3" t="s">
        <v>519</v>
      </c>
      <c r="G3791" s="3" t="s">
        <v>28</v>
      </c>
      <c r="H3791" s="2" t="s">
        <v>65</v>
      </c>
      <c r="I3791" s="2" t="s">
        <v>9340</v>
      </c>
      <c r="J3791" s="3" t="str">
        <f>HYPERLINK("https://www.boe.es/gazeta/dias/1819/10/07/pdfs/GMD-1819-123.pdf#page=8","Abrir facsímil")</f>
        <v>Abrir facsímil</v>
      </c>
      <c r="K3791" s="3" t="s">
        <v>67</v>
      </c>
    </row>
    <row r="3792" spans="1:11" ht="42" customHeight="1">
      <c r="A3792" s="2" t="s">
        <v>9341</v>
      </c>
      <c r="B3792" s="2" t="s">
        <v>9342</v>
      </c>
      <c r="C3792" s="2" t="s">
        <v>26</v>
      </c>
      <c r="D3792" s="2" t="s">
        <v>18</v>
      </c>
      <c r="E3792" s="5">
        <v>-29271</v>
      </c>
      <c r="F3792" s="3" t="s">
        <v>32</v>
      </c>
      <c r="G3792" s="3" t="s">
        <v>2323</v>
      </c>
      <c r="H3792" s="2" t="s">
        <v>65</v>
      </c>
      <c r="I3792" s="2" t="s">
        <v>9343</v>
      </c>
      <c r="J3792" s="3" t="str">
        <f>HYPERLINK("https://www.boe.es/gazeta/dias/1819/11/09/pdfs/GMD-1819-138.pdf#page=5","Abrir facsímil")</f>
        <v>Abrir facsímil</v>
      </c>
      <c r="K3792" s="3" t="s">
        <v>67</v>
      </c>
    </row>
    <row r="3793" spans="1:11" ht="42" customHeight="1">
      <c r="A3793" s="2" t="s">
        <v>9344</v>
      </c>
      <c r="B3793" s="2" t="s">
        <v>9345</v>
      </c>
      <c r="C3793" s="2" t="s">
        <v>63</v>
      </c>
      <c r="D3793" s="2" t="s">
        <v>43</v>
      </c>
      <c r="E3793" s="5">
        <v>-29353</v>
      </c>
      <c r="F3793" s="3" t="s">
        <v>867</v>
      </c>
      <c r="G3793" s="3" t="s">
        <v>28</v>
      </c>
      <c r="H3793" s="2" t="s">
        <v>21</v>
      </c>
      <c r="I3793" s="2" t="s">
        <v>9346</v>
      </c>
      <c r="J3793" s="3" t="str">
        <f>HYPERLINK("https://www.boe.es/gazeta/dias/1819/08/19/pdfs/GMD-1819-100.pdf#page=8","Abrir facsímil")</f>
        <v>Abrir facsímil</v>
      </c>
      <c r="K3793" s="3" t="s">
        <v>23</v>
      </c>
    </row>
    <row r="3794" spans="1:11" ht="42" customHeight="1">
      <c r="A3794" s="2" t="s">
        <v>9347</v>
      </c>
      <c r="B3794" s="2" t="s">
        <v>9348</v>
      </c>
      <c r="C3794" s="2" t="s">
        <v>17</v>
      </c>
      <c r="D3794" s="2" t="s">
        <v>18</v>
      </c>
      <c r="E3794" s="5">
        <v>-29530</v>
      </c>
      <c r="F3794" s="3" t="s">
        <v>202</v>
      </c>
      <c r="G3794" s="3" t="s">
        <v>20</v>
      </c>
      <c r="H3794" s="2" t="s">
        <v>65</v>
      </c>
      <c r="I3794" s="2" t="s">
        <v>9349</v>
      </c>
      <c r="J3794" s="3" t="str">
        <f>HYPERLINK("https://www.boe.es/gazeta/dias/1819/02/23/pdfs/GMD-1819-23.pdf#page=10","Abrir facsímil")</f>
        <v>Abrir facsímil</v>
      </c>
      <c r="K3794" s="3" t="s">
        <v>67</v>
      </c>
    </row>
    <row r="3795" spans="1:11" ht="42" customHeight="1">
      <c r="A3795" s="2" t="s">
        <v>9350</v>
      </c>
      <c r="B3795" s="2" t="s">
        <v>9351</v>
      </c>
      <c r="C3795" s="2" t="s">
        <v>215</v>
      </c>
      <c r="D3795" s="2" t="s">
        <v>18</v>
      </c>
      <c r="E3795" s="5">
        <v>-29269</v>
      </c>
      <c r="F3795" s="3" t="s">
        <v>565</v>
      </c>
      <c r="G3795" s="3" t="s">
        <v>28</v>
      </c>
      <c r="H3795" s="2" t="s">
        <v>65</v>
      </c>
      <c r="I3795" s="2" t="s">
        <v>9352</v>
      </c>
      <c r="J3795" s="3" t="str">
        <f>HYPERLINK("https://www.boe.es/gazeta/dias/1819/11/11/pdfs/GMD-1819-139.pdf#page=8","Abrir facsímil")</f>
        <v>Abrir facsímil</v>
      </c>
      <c r="K3795" s="3" t="s">
        <v>67</v>
      </c>
    </row>
    <row r="3796" spans="1:11" ht="42" customHeight="1">
      <c r="A3796" s="2" t="s">
        <v>9353</v>
      </c>
      <c r="B3796" s="2" t="s">
        <v>9354</v>
      </c>
      <c r="C3796" s="2" t="s">
        <v>63</v>
      </c>
      <c r="D3796" s="2" t="s">
        <v>43</v>
      </c>
      <c r="E3796" s="5">
        <v>-29325</v>
      </c>
      <c r="F3796" s="3" t="s">
        <v>174</v>
      </c>
      <c r="G3796" s="3" t="s">
        <v>33</v>
      </c>
      <c r="H3796" s="2" t="s">
        <v>65</v>
      </c>
      <c r="I3796" s="2" t="s">
        <v>9355</v>
      </c>
      <c r="J3796" s="3" t="str">
        <f>HYPERLINK("https://www.boe.es/gazeta/dias/1819/09/16/pdfs/GMD-1819-113.pdf#page=6","Abrir facsímil")</f>
        <v>Abrir facsímil</v>
      </c>
      <c r="K3796" s="3" t="s">
        <v>67</v>
      </c>
    </row>
    <row r="3797" spans="1:11" ht="42" customHeight="1">
      <c r="A3797" s="2" t="s">
        <v>9356</v>
      </c>
      <c r="B3797" s="2" t="s">
        <v>9357</v>
      </c>
      <c r="C3797" s="2" t="s">
        <v>59</v>
      </c>
      <c r="D3797" s="2" t="s">
        <v>18</v>
      </c>
      <c r="E3797" s="5">
        <v>-29292</v>
      </c>
      <c r="F3797" s="3" t="s">
        <v>875</v>
      </c>
      <c r="G3797" s="3" t="s">
        <v>28</v>
      </c>
      <c r="H3797" s="2" t="s">
        <v>65</v>
      </c>
      <c r="I3797" s="2" t="s">
        <v>9358</v>
      </c>
      <c r="J3797" s="3" t="str">
        <f>HYPERLINK("https://www.boe.es/gazeta/dias/1819/10/19/pdfs/GMD-1819-128.pdf#page=8","Abrir facsímil")</f>
        <v>Abrir facsímil</v>
      </c>
      <c r="K3797" s="3" t="s">
        <v>67</v>
      </c>
    </row>
    <row r="3798" spans="1:11" ht="42" customHeight="1">
      <c r="A3798" s="2" t="s">
        <v>9359</v>
      </c>
      <c r="B3798" s="2" t="s">
        <v>9360</v>
      </c>
      <c r="C3798" s="2" t="s">
        <v>63</v>
      </c>
      <c r="D3798" s="2" t="s">
        <v>43</v>
      </c>
      <c r="E3798" s="5">
        <v>-29400</v>
      </c>
      <c r="F3798" s="3" t="s">
        <v>2181</v>
      </c>
      <c r="G3798" s="3" t="s">
        <v>3943</v>
      </c>
      <c r="H3798" s="2" t="s">
        <v>65</v>
      </c>
      <c r="I3798" s="2" t="s">
        <v>9361</v>
      </c>
      <c r="J3798" s="3" t="str">
        <f>HYPERLINK("https://www.boe.es/gazeta/dias/1819/07/03/pdfs/GMD-1819-80.pdf#page=6","Abrir facsímil")</f>
        <v>Abrir facsímil</v>
      </c>
      <c r="K3798" s="3" t="s">
        <v>67</v>
      </c>
    </row>
    <row r="3799" spans="1:11" ht="42" customHeight="1">
      <c r="A3799" s="2" t="s">
        <v>9362</v>
      </c>
      <c r="B3799" s="2" t="s">
        <v>9363</v>
      </c>
      <c r="C3799" s="2" t="s">
        <v>59</v>
      </c>
      <c r="D3799" s="2" t="s">
        <v>18</v>
      </c>
      <c r="E3799" s="5">
        <v>-29255</v>
      </c>
      <c r="F3799" s="3" t="s">
        <v>357</v>
      </c>
      <c r="G3799" s="3" t="s">
        <v>38</v>
      </c>
      <c r="H3799" s="2" t="s">
        <v>65</v>
      </c>
      <c r="I3799" s="2" t="s">
        <v>9364</v>
      </c>
      <c r="J3799" s="3" t="str">
        <f>HYPERLINK("https://www.boe.es/gazeta/dias/1819/11/25/pdfs/GMD-1819-145.pdf#page=5","Abrir facsímil")</f>
        <v>Abrir facsímil</v>
      </c>
      <c r="K3799" s="3" t="s">
        <v>67</v>
      </c>
    </row>
    <row r="3800" spans="1:11" ht="42" customHeight="1">
      <c r="A3800" s="2" t="s">
        <v>9365</v>
      </c>
      <c r="B3800" s="2" t="s">
        <v>9366</v>
      </c>
      <c r="C3800" s="2" t="s">
        <v>80</v>
      </c>
      <c r="D3800" s="2" t="s">
        <v>81</v>
      </c>
      <c r="E3800" s="5">
        <v>-29397</v>
      </c>
      <c r="F3800" s="3" t="s">
        <v>599</v>
      </c>
      <c r="G3800" s="3" t="s">
        <v>55</v>
      </c>
      <c r="H3800" s="2" t="s">
        <v>65</v>
      </c>
      <c r="I3800" s="2" t="s">
        <v>9367</v>
      </c>
      <c r="J3800" s="3" t="str">
        <f>HYPERLINK("https://www.boe.es/gazeta/dias/1819/07/06/pdfs/GMD-1819-81.pdf#page=7","Abrir facsímil")</f>
        <v>Abrir facsímil</v>
      </c>
      <c r="K3800" s="3" t="s">
        <v>67</v>
      </c>
    </row>
    <row r="3801" spans="1:11" ht="42" customHeight="1">
      <c r="A3801" s="2" t="s">
        <v>9368</v>
      </c>
      <c r="B3801" s="2" t="s">
        <v>9369</v>
      </c>
      <c r="C3801" s="2" t="s">
        <v>59</v>
      </c>
      <c r="D3801" s="2" t="s">
        <v>18</v>
      </c>
      <c r="E3801" s="5">
        <v>-29556</v>
      </c>
      <c r="F3801" s="3" t="s">
        <v>255</v>
      </c>
      <c r="G3801" s="3" t="s">
        <v>28</v>
      </c>
      <c r="H3801" s="2" t="s">
        <v>65</v>
      </c>
      <c r="I3801" s="2" t="s">
        <v>9370</v>
      </c>
      <c r="J3801" s="3" t="str">
        <f>HYPERLINK("https://www.boe.es/gazeta/dias/1819/01/28/pdfs/GMD-1819-12.pdf#page=8","Abrir facsímil")</f>
        <v>Abrir facsímil</v>
      </c>
      <c r="K3801" s="3" t="s">
        <v>67</v>
      </c>
    </row>
    <row r="3802" spans="1:11" ht="42" customHeight="1">
      <c r="A3802" s="2" t="s">
        <v>9368</v>
      </c>
      <c r="B3802" s="2" t="s">
        <v>9369</v>
      </c>
      <c r="C3802" s="2" t="s">
        <v>215</v>
      </c>
      <c r="D3802" s="2" t="s">
        <v>18</v>
      </c>
      <c r="E3802" s="5">
        <v>-29414</v>
      </c>
      <c r="F3802" s="3" t="s">
        <v>732</v>
      </c>
      <c r="G3802" s="3" t="s">
        <v>28</v>
      </c>
      <c r="H3802" s="2" t="s">
        <v>65</v>
      </c>
      <c r="I3802" s="2" t="s">
        <v>9371</v>
      </c>
      <c r="J3802" s="3" t="str">
        <f>HYPERLINK("https://www.boe.es/gazeta/dias/1819/06/19/pdfs/GMD-1819-74.pdf#page=8","Abrir facsímil")</f>
        <v>Abrir facsímil</v>
      </c>
      <c r="K3802" s="3" t="s">
        <v>67</v>
      </c>
    </row>
    <row r="3803" spans="1:11" ht="42" customHeight="1">
      <c r="A3803" s="2" t="s">
        <v>9372</v>
      </c>
      <c r="B3803" s="2" t="s">
        <v>9373</v>
      </c>
      <c r="C3803" s="2" t="s">
        <v>80</v>
      </c>
      <c r="D3803" s="2" t="s">
        <v>81</v>
      </c>
      <c r="E3803" s="5">
        <v>-29505</v>
      </c>
      <c r="F3803" s="3" t="s">
        <v>597</v>
      </c>
      <c r="G3803" s="3" t="s">
        <v>55</v>
      </c>
      <c r="H3803" s="2" t="s">
        <v>65</v>
      </c>
      <c r="I3803" s="2" t="s">
        <v>9374</v>
      </c>
      <c r="J3803" s="3" t="str">
        <f>HYPERLINK("https://www.boe.es/gazeta/dias/1819/03/20/pdfs/GMD-1819-34.pdf#page=7","Abrir facsímil")</f>
        <v>Abrir facsímil</v>
      </c>
      <c r="K3803" s="3" t="s">
        <v>67</v>
      </c>
    </row>
    <row r="3804" spans="1:11" ht="42" customHeight="1">
      <c r="A3804" s="2" t="s">
        <v>9375</v>
      </c>
      <c r="B3804" s="2" t="s">
        <v>9376</v>
      </c>
      <c r="C3804" s="2" t="s">
        <v>80</v>
      </c>
      <c r="D3804" s="2" t="s">
        <v>81</v>
      </c>
      <c r="E3804" s="5">
        <v>-29255</v>
      </c>
      <c r="F3804" s="3" t="s">
        <v>357</v>
      </c>
      <c r="G3804" s="3" t="s">
        <v>358</v>
      </c>
      <c r="H3804" s="2" t="s">
        <v>65</v>
      </c>
      <c r="I3804" s="2" t="s">
        <v>9377</v>
      </c>
      <c r="J3804" s="3" t="str">
        <f>HYPERLINK("https://www.boe.es/gazeta/dias/1819/11/25/pdfs/GMD-1819-145.pdf#page=6","Abrir facsímil")</f>
        <v>Abrir facsímil</v>
      </c>
      <c r="K3804" s="3" t="s">
        <v>67</v>
      </c>
    </row>
    <row r="3805" spans="1:11" ht="42" customHeight="1">
      <c r="A3805" s="2" t="s">
        <v>9378</v>
      </c>
      <c r="B3805" s="2" t="s">
        <v>9379</v>
      </c>
      <c r="C3805" s="2" t="s">
        <v>80</v>
      </c>
      <c r="D3805" s="2" t="s">
        <v>454</v>
      </c>
      <c r="E3805" s="5">
        <v>-29287</v>
      </c>
      <c r="F3805" s="3" t="s">
        <v>455</v>
      </c>
      <c r="G3805" s="3" t="s">
        <v>481</v>
      </c>
      <c r="H3805" s="2" t="s">
        <v>65</v>
      </c>
      <c r="I3805" s="2" t="s">
        <v>9380</v>
      </c>
      <c r="J3805" s="3" t="str">
        <f>HYPERLINK("https://www.boe.es/gazeta/dias/1819/10/24/pdfs/GMD-1819-131E.pdf#page=8","Abrir facsímil")</f>
        <v>Abrir facsímil</v>
      </c>
      <c r="K3805" s="3" t="s">
        <v>67</v>
      </c>
    </row>
    <row r="3806" spans="1:11" ht="42" customHeight="1">
      <c r="A3806" s="2" t="s">
        <v>9381</v>
      </c>
      <c r="B3806" s="2" t="s">
        <v>9382</v>
      </c>
      <c r="C3806" s="2" t="s">
        <v>80</v>
      </c>
      <c r="D3806" s="2" t="s">
        <v>81</v>
      </c>
      <c r="E3806" s="5">
        <v>-29575</v>
      </c>
      <c r="F3806" s="3" t="s">
        <v>77</v>
      </c>
      <c r="G3806" s="3" t="s">
        <v>38</v>
      </c>
      <c r="H3806" s="2" t="s">
        <v>65</v>
      </c>
      <c r="I3806" s="2" t="s">
        <v>9383</v>
      </c>
      <c r="J3806" s="3" t="str">
        <f>HYPERLINK("https://www.boe.es/gazeta/dias/1819/01/09/pdfs/GMD-1819-4.pdf#page=5","Abrir facsímil")</f>
        <v>Abrir facsímil</v>
      </c>
      <c r="K3806" s="3" t="s">
        <v>67</v>
      </c>
    </row>
    <row r="3807" spans="1:11" ht="42" customHeight="1">
      <c r="A3807" s="2" t="s">
        <v>9384</v>
      </c>
      <c r="B3807" s="2" t="s">
        <v>9385</v>
      </c>
      <c r="C3807" s="2" t="s">
        <v>80</v>
      </c>
      <c r="D3807" s="2" t="s">
        <v>81</v>
      </c>
      <c r="E3807" s="5">
        <v>-29276</v>
      </c>
      <c r="F3807" s="3" t="s">
        <v>54</v>
      </c>
      <c r="G3807" s="3" t="s">
        <v>55</v>
      </c>
      <c r="H3807" s="2" t="s">
        <v>65</v>
      </c>
      <c r="I3807" s="2" t="s">
        <v>9386</v>
      </c>
      <c r="J3807" s="3" t="str">
        <f>HYPERLINK("https://www.boe.es/gazeta/dias/1819/11/04/pdfs/GMD-1819-136.pdf#page=7","Abrir facsímil")</f>
        <v>Abrir facsímil</v>
      </c>
      <c r="K3807" s="3" t="s">
        <v>67</v>
      </c>
    </row>
    <row r="3808" spans="1:11" ht="42" customHeight="1">
      <c r="A3808" s="2" t="s">
        <v>9387</v>
      </c>
      <c r="B3808" s="2" t="s">
        <v>9388</v>
      </c>
      <c r="C3808" s="2" t="s">
        <v>59</v>
      </c>
      <c r="D3808" s="2" t="s">
        <v>18</v>
      </c>
      <c r="E3808" s="5">
        <v>-29355</v>
      </c>
      <c r="F3808" s="3" t="s">
        <v>347</v>
      </c>
      <c r="G3808" s="3" t="s">
        <v>348</v>
      </c>
      <c r="H3808" s="2" t="s">
        <v>65</v>
      </c>
      <c r="I3808" s="2" t="s">
        <v>9389</v>
      </c>
      <c r="J3808" s="3" t="str">
        <f>HYPERLINK("https://www.boe.es/gazeta/dias/1819/08/17/pdfs/GMD-1819-99.pdf#page=6","Abrir facsímil")</f>
        <v>Abrir facsímil</v>
      </c>
      <c r="K3808" s="3" t="s">
        <v>67</v>
      </c>
    </row>
    <row r="3809" spans="1:11" ht="42" customHeight="1">
      <c r="A3809" s="2" t="s">
        <v>9390</v>
      </c>
      <c r="B3809" s="2" t="s">
        <v>9391</v>
      </c>
      <c r="C3809" s="2" t="s">
        <v>63</v>
      </c>
      <c r="D3809" s="2" t="s">
        <v>43</v>
      </c>
      <c r="E3809" s="5">
        <v>-29514</v>
      </c>
      <c r="F3809" s="3" t="s">
        <v>595</v>
      </c>
      <c r="G3809" s="3" t="s">
        <v>38</v>
      </c>
      <c r="H3809" s="2" t="s">
        <v>65</v>
      </c>
      <c r="I3809" s="2" t="s">
        <v>9392</v>
      </c>
      <c r="J3809" s="3" t="str">
        <f>HYPERLINK("https://www.boe.es/gazeta/dias/1819/03/11/pdfs/GMD-1819-30.pdf#page=5","Abrir facsímil")</f>
        <v>Abrir facsímil</v>
      </c>
      <c r="K3809" s="3" t="s">
        <v>67</v>
      </c>
    </row>
    <row r="3810" spans="1:11" ht="42" customHeight="1">
      <c r="A3810" s="2" t="s">
        <v>9393</v>
      </c>
      <c r="B3810" s="2" t="s">
        <v>9394</v>
      </c>
      <c r="C3810" s="2" t="s">
        <v>59</v>
      </c>
      <c r="D3810" s="2" t="s">
        <v>18</v>
      </c>
      <c r="E3810" s="5">
        <v>-29281</v>
      </c>
      <c r="F3810" s="3" t="s">
        <v>19</v>
      </c>
      <c r="G3810" s="3" t="s">
        <v>20</v>
      </c>
      <c r="H3810" s="2" t="s">
        <v>21</v>
      </c>
      <c r="I3810" s="2" t="s">
        <v>9395</v>
      </c>
      <c r="J3810" s="3" t="str">
        <f>HYPERLINK("https://www.boe.es/gazeta/dias/1819/10/30/pdfs/GMD-1819-134.pdf#page=10","Abrir facsímil")</f>
        <v>Abrir facsímil</v>
      </c>
      <c r="K3810" s="3" t="s">
        <v>23</v>
      </c>
    </row>
    <row r="3811" spans="1:11" ht="42" customHeight="1">
      <c r="A3811" s="2" t="s">
        <v>9396</v>
      </c>
      <c r="B3811" s="2" t="s">
        <v>9397</v>
      </c>
      <c r="C3811" s="2" t="s">
        <v>80</v>
      </c>
      <c r="D3811" s="2" t="s">
        <v>81</v>
      </c>
      <c r="E3811" s="5">
        <v>-29458</v>
      </c>
      <c r="F3811" s="3" t="s">
        <v>766</v>
      </c>
      <c r="G3811" s="3" t="s">
        <v>38</v>
      </c>
      <c r="H3811" s="2" t="s">
        <v>21</v>
      </c>
      <c r="I3811" s="2" t="s">
        <v>9398</v>
      </c>
      <c r="J3811" s="3" t="str">
        <f>HYPERLINK("https://www.boe.es/gazeta/dias/1819/05/06/pdfs/GMD-1819-54.pdf#page=5","Abrir facsímil")</f>
        <v>Abrir facsímil</v>
      </c>
      <c r="K3811" s="3" t="s">
        <v>23</v>
      </c>
    </row>
    <row r="3812" spans="1:11" ht="42" customHeight="1">
      <c r="A3812" s="2" t="s">
        <v>9399</v>
      </c>
      <c r="B3812" s="2" t="s">
        <v>9400</v>
      </c>
      <c r="C3812" s="2" t="s">
        <v>80</v>
      </c>
      <c r="D3812" s="2" t="s">
        <v>81</v>
      </c>
      <c r="E3812" s="5">
        <v>-29397</v>
      </c>
      <c r="F3812" s="3" t="s">
        <v>599</v>
      </c>
      <c r="G3812" s="3" t="s">
        <v>38</v>
      </c>
      <c r="H3812" s="2" t="s">
        <v>21</v>
      </c>
      <c r="I3812" s="2" t="s">
        <v>9401</v>
      </c>
      <c r="J3812" s="3" t="str">
        <f>HYPERLINK("https://www.boe.es/gazeta/dias/1819/07/06/pdfs/GMD-1819-81.pdf#page=5","Abrir facsímil")</f>
        <v>Abrir facsímil</v>
      </c>
      <c r="K3812" s="3" t="s">
        <v>23</v>
      </c>
    </row>
    <row r="3813" spans="1:11" ht="42" customHeight="1">
      <c r="A3813" s="2" t="s">
        <v>9402</v>
      </c>
      <c r="B3813" s="2" t="s">
        <v>9403</v>
      </c>
      <c r="C3813" s="2" t="s">
        <v>17</v>
      </c>
      <c r="D3813" s="2" t="s">
        <v>18</v>
      </c>
      <c r="E3813" s="5">
        <v>-29276</v>
      </c>
      <c r="F3813" s="3" t="s">
        <v>54</v>
      </c>
      <c r="G3813" s="3" t="s">
        <v>55</v>
      </c>
      <c r="H3813" s="2" t="s">
        <v>21</v>
      </c>
      <c r="I3813" s="2" t="s">
        <v>9404</v>
      </c>
      <c r="J3813" s="3" t="str">
        <f>HYPERLINK("https://www.boe.es/gazeta/dias/1819/11/04/pdfs/GMD-1819-136.pdf#page=7","Abrir facsímil")</f>
        <v>Abrir facsímil</v>
      </c>
      <c r="K3813" s="3" t="s">
        <v>23</v>
      </c>
    </row>
    <row r="3814" spans="1:11" ht="42" customHeight="1">
      <c r="A3814" s="2" t="s">
        <v>9405</v>
      </c>
      <c r="B3814" s="2" t="s">
        <v>9406</v>
      </c>
      <c r="C3814" s="2" t="s">
        <v>17</v>
      </c>
      <c r="D3814" s="2" t="s">
        <v>18</v>
      </c>
      <c r="E3814" s="5">
        <v>-29271</v>
      </c>
      <c r="F3814" s="3" t="s">
        <v>32</v>
      </c>
      <c r="G3814" s="3" t="s">
        <v>33</v>
      </c>
      <c r="H3814" s="2" t="s">
        <v>21</v>
      </c>
      <c r="I3814" s="2" t="s">
        <v>9407</v>
      </c>
      <c r="J3814" s="3" t="str">
        <f>HYPERLINK("https://www.boe.es/gazeta/dias/1819/11/09/pdfs/GMD-1819-138.pdf#page=6","Abrir facsímil")</f>
        <v>Abrir facsímil</v>
      </c>
      <c r="K3814" s="3" t="s">
        <v>23</v>
      </c>
    </row>
    <row r="3815" spans="1:11" ht="42" customHeight="1">
      <c r="A3815" s="2" t="s">
        <v>9408</v>
      </c>
      <c r="B3815" s="2" t="s">
        <v>9409</v>
      </c>
      <c r="C3815" s="2" t="s">
        <v>59</v>
      </c>
      <c r="D3815" s="2" t="s">
        <v>18</v>
      </c>
      <c r="E3815" s="5">
        <v>-29458</v>
      </c>
      <c r="F3815" s="3" t="s">
        <v>766</v>
      </c>
      <c r="G3815" s="3" t="s">
        <v>33</v>
      </c>
      <c r="H3815" s="2" t="s">
        <v>21</v>
      </c>
      <c r="I3815" s="2" t="s">
        <v>9410</v>
      </c>
      <c r="J3815" s="3" t="str">
        <f>HYPERLINK("https://www.boe.es/gazeta/dias/1819/05/06/pdfs/GMD-1819-54.pdf#page=6","Abrir facsímil")</f>
        <v>Abrir facsímil</v>
      </c>
      <c r="K3815" s="3" t="s">
        <v>23</v>
      </c>
    </row>
    <row r="3816" spans="1:11" ht="42" customHeight="1">
      <c r="A3816" s="2" t="s">
        <v>9411</v>
      </c>
      <c r="B3816" s="2" t="s">
        <v>9412</v>
      </c>
      <c r="C3816" s="2" t="s">
        <v>80</v>
      </c>
      <c r="D3816" s="2" t="s">
        <v>81</v>
      </c>
      <c r="E3816" s="5">
        <v>-29276</v>
      </c>
      <c r="F3816" s="3" t="s">
        <v>54</v>
      </c>
      <c r="G3816" s="3" t="s">
        <v>55</v>
      </c>
      <c r="H3816" s="2" t="s">
        <v>21</v>
      </c>
      <c r="I3816" s="2" t="s">
        <v>9413</v>
      </c>
      <c r="J3816" s="3" t="str">
        <f>HYPERLINK("https://www.boe.es/gazeta/dias/1819/11/04/pdfs/GMD-1819-136.pdf#page=7","Abrir facsímil")</f>
        <v>Abrir facsímil</v>
      </c>
      <c r="K3816" s="3" t="s">
        <v>23</v>
      </c>
    </row>
    <row r="3817" spans="1:11" ht="42" customHeight="1">
      <c r="A3817" s="2" t="s">
        <v>9414</v>
      </c>
      <c r="B3817" s="2" t="s">
        <v>9415</v>
      </c>
      <c r="C3817" s="2" t="s">
        <v>17</v>
      </c>
      <c r="D3817" s="2" t="s">
        <v>18</v>
      </c>
      <c r="E3817" s="5">
        <v>-29253</v>
      </c>
      <c r="F3817" s="3" t="s">
        <v>242</v>
      </c>
      <c r="G3817" s="3" t="s">
        <v>33</v>
      </c>
      <c r="H3817" s="2" t="s">
        <v>21</v>
      </c>
      <c r="I3817" s="2" t="s">
        <v>9416</v>
      </c>
      <c r="J3817" s="3" t="str">
        <f>HYPERLINK("https://www.boe.es/gazeta/dias/1819/11/27/pdfs/GMD-1819-146.pdf#page=6","Abrir facsímil")</f>
        <v>Abrir facsímil</v>
      </c>
      <c r="K3817" s="3" t="s">
        <v>23</v>
      </c>
    </row>
    <row r="3818" spans="1:11" ht="42" customHeight="1">
      <c r="A3818" s="2" t="s">
        <v>9417</v>
      </c>
      <c r="B3818" s="2" t="s">
        <v>9418</v>
      </c>
      <c r="C3818" s="2" t="s">
        <v>17</v>
      </c>
      <c r="D3818" s="2" t="s">
        <v>18</v>
      </c>
      <c r="E3818" s="5">
        <v>-29257</v>
      </c>
      <c r="F3818" s="3" t="s">
        <v>73</v>
      </c>
      <c r="G3818" s="3" t="s">
        <v>33</v>
      </c>
      <c r="H3818" s="2" t="s">
        <v>21</v>
      </c>
      <c r="I3818" s="2" t="s">
        <v>9419</v>
      </c>
      <c r="J3818" s="3" t="str">
        <f>HYPERLINK("https://www.boe.es/gazeta/dias/1819/11/23/pdfs/GMD-1819-144.pdf#page=6","Abrir facsímil")</f>
        <v>Abrir facsímil</v>
      </c>
      <c r="K3818" s="3" t="s">
        <v>23</v>
      </c>
    </row>
    <row r="3819" spans="1:11" ht="42" customHeight="1">
      <c r="A3819" s="2" t="s">
        <v>9420</v>
      </c>
      <c r="B3819" s="2" t="s">
        <v>9421</v>
      </c>
      <c r="C3819" s="2" t="s">
        <v>63</v>
      </c>
      <c r="D3819" s="2" t="s">
        <v>43</v>
      </c>
      <c r="E3819" s="5">
        <v>-29269</v>
      </c>
      <c r="F3819" s="3" t="s">
        <v>565</v>
      </c>
      <c r="G3819" s="3" t="s">
        <v>38</v>
      </c>
      <c r="H3819" s="2" t="s">
        <v>21</v>
      </c>
      <c r="I3819" s="2" t="s">
        <v>9422</v>
      </c>
      <c r="J3819" s="3" t="str">
        <f>HYPERLINK("https://www.boe.es/gazeta/dias/1819/11/11/pdfs/GMD-1819-139.pdf#page=5","Abrir facsímil")</f>
        <v>Abrir facsímil</v>
      </c>
      <c r="K3819" s="3" t="s">
        <v>23</v>
      </c>
    </row>
    <row r="3820" spans="1:11" ht="42" customHeight="1">
      <c r="A3820" s="2" t="s">
        <v>9423</v>
      </c>
      <c r="B3820" s="2" t="s">
        <v>9424</v>
      </c>
      <c r="C3820" s="2" t="s">
        <v>42</v>
      </c>
      <c r="D3820" s="2" t="s">
        <v>43</v>
      </c>
      <c r="E3820" s="5">
        <v>-29276</v>
      </c>
      <c r="F3820" s="3" t="s">
        <v>54</v>
      </c>
      <c r="G3820" s="3" t="s">
        <v>55</v>
      </c>
      <c r="H3820" s="2" t="s">
        <v>21</v>
      </c>
      <c r="I3820" s="2" t="s">
        <v>9425</v>
      </c>
      <c r="J3820" s="3" t="str">
        <f>HYPERLINK("https://www.boe.es/gazeta/dias/1819/11/04/pdfs/GMD-1819-136.pdf#page=7","Abrir facsímil")</f>
        <v>Abrir facsímil</v>
      </c>
      <c r="K3820" s="3" t="s">
        <v>23</v>
      </c>
    </row>
    <row r="3821" spans="1:11" ht="42" customHeight="1">
      <c r="A3821" s="2" t="s">
        <v>9426</v>
      </c>
      <c r="B3821" s="2" t="s">
        <v>9427</v>
      </c>
      <c r="C3821" s="2" t="s">
        <v>63</v>
      </c>
      <c r="D3821" s="2" t="s">
        <v>43</v>
      </c>
      <c r="E3821" s="5">
        <v>-29253</v>
      </c>
      <c r="F3821" s="3" t="s">
        <v>242</v>
      </c>
      <c r="G3821" s="3" t="s">
        <v>2986</v>
      </c>
      <c r="H3821" s="2" t="s">
        <v>65</v>
      </c>
      <c r="I3821" s="2" t="s">
        <v>9428</v>
      </c>
      <c r="J3821" s="3" t="str">
        <f>HYPERLINK("https://www.boe.es/gazeta/dias/1819/11/27/pdfs/GMD-1819-146.pdf#page=8","Abrir facsímil")</f>
        <v>Abrir facsímil</v>
      </c>
      <c r="K3821" s="3" t="s">
        <v>67</v>
      </c>
    </row>
    <row r="3822" spans="1:11" ht="42" customHeight="1">
      <c r="A3822" s="2" t="s">
        <v>9429</v>
      </c>
      <c r="B3822" s="2" t="s">
        <v>9429</v>
      </c>
      <c r="C3822" s="2" t="s">
        <v>63</v>
      </c>
      <c r="D3822" s="2" t="s">
        <v>43</v>
      </c>
      <c r="E3822" s="5">
        <v>-29360</v>
      </c>
      <c r="F3822" s="3" t="s">
        <v>182</v>
      </c>
      <c r="G3822" s="3" t="s">
        <v>259</v>
      </c>
      <c r="H3822" s="2" t="s">
        <v>65</v>
      </c>
      <c r="I3822" s="2" t="s">
        <v>9430</v>
      </c>
      <c r="J3822" s="3" t="str">
        <f>HYPERLINK("https://www.boe.es/gazeta/dias/1819/08/12/pdfs/GMD-1819-97.pdf#page=2","Abrir facsímil")</f>
        <v>Abrir facsímil</v>
      </c>
      <c r="K3822" s="3" t="s">
        <v>67</v>
      </c>
    </row>
    <row r="3823" spans="1:11" ht="42" customHeight="1">
      <c r="A3823" s="2" t="s">
        <v>9431</v>
      </c>
      <c r="B3823" s="2" t="s">
        <v>9431</v>
      </c>
      <c r="C3823" s="2" t="s">
        <v>63</v>
      </c>
      <c r="D3823" s="2" t="s">
        <v>43</v>
      </c>
      <c r="E3823" s="5">
        <v>-29327</v>
      </c>
      <c r="F3823" s="3" t="s">
        <v>620</v>
      </c>
      <c r="G3823" s="3" t="s">
        <v>28</v>
      </c>
      <c r="H3823" s="2" t="s">
        <v>65</v>
      </c>
      <c r="I3823" s="2" t="s">
        <v>9432</v>
      </c>
      <c r="J3823" s="3" t="str">
        <f>HYPERLINK("https://www.boe.es/gazeta/dias/1819/09/14/pdfs/GMD-1819-112.pdf#page=8","Abrir facsímil")</f>
        <v>Abrir facsímil</v>
      </c>
      <c r="K3823" s="3" t="s">
        <v>67</v>
      </c>
    </row>
    <row r="3824" spans="1:11" ht="42" customHeight="1">
      <c r="A3824" s="2" t="s">
        <v>9433</v>
      </c>
      <c r="B3824" s="2" t="s">
        <v>9434</v>
      </c>
      <c r="C3824" s="2" t="s">
        <v>80</v>
      </c>
      <c r="D3824" s="2" t="s">
        <v>81</v>
      </c>
      <c r="E3824" s="5">
        <v>-29257</v>
      </c>
      <c r="F3824" s="3" t="s">
        <v>73</v>
      </c>
      <c r="G3824" s="3" t="s">
        <v>38</v>
      </c>
      <c r="H3824" s="2" t="s">
        <v>21</v>
      </c>
      <c r="I3824" s="2" t="s">
        <v>9435</v>
      </c>
      <c r="J3824" s="3" t="str">
        <f>HYPERLINK("https://www.boe.es/gazeta/dias/1819/11/23/pdfs/GMD-1819-144.pdf#page=5","Abrir facsímil")</f>
        <v>Abrir facsímil</v>
      </c>
      <c r="K3824" s="3" t="s">
        <v>23</v>
      </c>
    </row>
    <row r="3825" spans="1:11" ht="42" customHeight="1">
      <c r="A3825" s="2" t="s">
        <v>9436</v>
      </c>
      <c r="B3825" s="2" t="s">
        <v>9437</v>
      </c>
      <c r="C3825" s="2" t="s">
        <v>136</v>
      </c>
      <c r="D3825" s="2" t="s">
        <v>18</v>
      </c>
      <c r="E3825" s="5">
        <v>-29295</v>
      </c>
      <c r="F3825" s="3" t="s">
        <v>390</v>
      </c>
      <c r="G3825" s="3" t="s">
        <v>28</v>
      </c>
      <c r="H3825" s="2" t="s">
        <v>65</v>
      </c>
      <c r="I3825" s="2" t="s">
        <v>9438</v>
      </c>
      <c r="J3825" s="3" t="str">
        <f>HYPERLINK("https://www.boe.es/gazeta/dias/1819/10/16/pdfs/GMD-1819-127.pdf#page=8","Abrir facsímil")</f>
        <v>Abrir facsímil</v>
      </c>
      <c r="K3825" s="3" t="s">
        <v>67</v>
      </c>
    </row>
    <row r="3826" spans="1:11" ht="42" customHeight="1">
      <c r="A3826" s="2" t="s">
        <v>9439</v>
      </c>
      <c r="B3826" s="2" t="s">
        <v>9439</v>
      </c>
      <c r="C3826" s="2" t="s">
        <v>80</v>
      </c>
      <c r="D3826" s="2" t="s">
        <v>81</v>
      </c>
      <c r="E3826" s="5">
        <v>-29421</v>
      </c>
      <c r="F3826" s="3" t="s">
        <v>1972</v>
      </c>
      <c r="G3826" s="3" t="s">
        <v>1973</v>
      </c>
      <c r="H3826" s="2" t="s">
        <v>65</v>
      </c>
      <c r="I3826" s="2" t="s">
        <v>9440</v>
      </c>
      <c r="J3826" s="3" t="str">
        <f>HYPERLINK("https://www.boe.es/gazeta/dias/1819/06/12/pdfs/GMD-1819-70.pdf#page=6","Abrir facsímil")</f>
        <v>Abrir facsímil</v>
      </c>
      <c r="K3826" s="3" t="s">
        <v>67</v>
      </c>
    </row>
    <row r="3827" spans="1:11" ht="42" customHeight="1">
      <c r="A3827" s="2" t="s">
        <v>9441</v>
      </c>
      <c r="B3827" s="2" t="s">
        <v>9442</v>
      </c>
      <c r="C3827" s="2" t="s">
        <v>80</v>
      </c>
      <c r="D3827" s="2" t="s">
        <v>81</v>
      </c>
      <c r="E3827" s="5">
        <v>-29262</v>
      </c>
      <c r="F3827" s="3" t="s">
        <v>1428</v>
      </c>
      <c r="G3827" s="3" t="s">
        <v>33</v>
      </c>
      <c r="H3827" s="2" t="s">
        <v>21</v>
      </c>
      <c r="I3827" s="2" t="s">
        <v>9443</v>
      </c>
      <c r="J3827" s="3" t="str">
        <f>HYPERLINK("https://www.boe.es/gazeta/dias/1819/11/18/pdfs/GMD-1819-142.pdf#page=6","Abrir facsímil")</f>
        <v>Abrir facsímil</v>
      </c>
      <c r="K3827" s="3" t="s">
        <v>23</v>
      </c>
    </row>
    <row r="3828" spans="1:11" ht="42" customHeight="1">
      <c r="A3828" s="2" t="s">
        <v>9444</v>
      </c>
      <c r="B3828" s="2" t="s">
        <v>9445</v>
      </c>
      <c r="C3828" s="2" t="s">
        <v>80</v>
      </c>
      <c r="D3828" s="2" t="s">
        <v>81</v>
      </c>
      <c r="E3828" s="5">
        <v>-29575</v>
      </c>
      <c r="F3828" s="3" t="s">
        <v>77</v>
      </c>
      <c r="G3828" s="3" t="s">
        <v>28</v>
      </c>
      <c r="H3828" s="2" t="s">
        <v>65</v>
      </c>
      <c r="I3828" s="2" t="s">
        <v>9446</v>
      </c>
      <c r="J3828" s="3" t="str">
        <f>HYPERLINK("https://www.boe.es/gazeta/dias/1819/01/09/pdfs/GMD-1819-4.pdf#page=8","Abrir facsímil")</f>
        <v>Abrir facsímil</v>
      </c>
      <c r="K3828" s="3" t="s">
        <v>67</v>
      </c>
    </row>
    <row r="3829" spans="1:11" ht="42" customHeight="1">
      <c r="A3829" s="2" t="s">
        <v>9447</v>
      </c>
      <c r="B3829" s="2" t="s">
        <v>9448</v>
      </c>
      <c r="C3829" s="2" t="s">
        <v>80</v>
      </c>
      <c r="D3829" s="2" t="s">
        <v>81</v>
      </c>
      <c r="E3829" s="5">
        <v>-29442</v>
      </c>
      <c r="F3829" s="3" t="s">
        <v>427</v>
      </c>
      <c r="G3829" s="3" t="s">
        <v>55</v>
      </c>
      <c r="H3829" s="2" t="s">
        <v>65</v>
      </c>
      <c r="I3829" s="2" t="s">
        <v>9449</v>
      </c>
      <c r="J3829" s="3" t="str">
        <f>HYPERLINK("https://www.boe.es/gazeta/dias/1819/05/22/pdfs/GMD-1819-61.pdf#page=7","Abrir facsímil")</f>
        <v>Abrir facsímil</v>
      </c>
      <c r="K3829" s="3" t="s">
        <v>67</v>
      </c>
    </row>
    <row r="3830" spans="1:11" ht="42" customHeight="1">
      <c r="A3830" s="2" t="s">
        <v>9450</v>
      </c>
      <c r="B3830" s="2" t="s">
        <v>9451</v>
      </c>
      <c r="C3830" s="2" t="s">
        <v>80</v>
      </c>
      <c r="D3830" s="2" t="s">
        <v>81</v>
      </c>
      <c r="E3830" s="5">
        <v>-29551</v>
      </c>
      <c r="F3830" s="3" t="s">
        <v>2173</v>
      </c>
      <c r="G3830" s="3" t="s">
        <v>28</v>
      </c>
      <c r="H3830" s="2" t="s">
        <v>65</v>
      </c>
      <c r="I3830" s="2" t="s">
        <v>9452</v>
      </c>
      <c r="J3830" s="3" t="str">
        <f>HYPERLINK("https://www.boe.es/gazeta/dias/1819/02/02/pdfs/GMD-1819-14.pdf#page=8","Abrir facsímil")</f>
        <v>Abrir facsímil</v>
      </c>
      <c r="K3830" s="3" t="s">
        <v>67</v>
      </c>
    </row>
    <row r="3831" spans="1:11" ht="42" customHeight="1">
      <c r="A3831" s="2" t="s">
        <v>9453</v>
      </c>
      <c r="B3831" s="2" t="s">
        <v>9454</v>
      </c>
      <c r="C3831" s="2" t="s">
        <v>80</v>
      </c>
      <c r="D3831" s="2" t="s">
        <v>81</v>
      </c>
      <c r="E3831" s="5">
        <v>-29437</v>
      </c>
      <c r="F3831" s="3" t="s">
        <v>1147</v>
      </c>
      <c r="G3831" s="3" t="s">
        <v>38</v>
      </c>
      <c r="H3831" s="2" t="s">
        <v>65</v>
      </c>
      <c r="I3831" s="2" t="s">
        <v>9455</v>
      </c>
      <c r="J3831" s="3" t="str">
        <f>HYPERLINK("https://www.boe.es/gazeta/dias/1819/05/27/pdfs/GMD-1819-63.pdf#page=5","Abrir facsímil")</f>
        <v>Abrir facsímil</v>
      </c>
      <c r="K3831" s="3" t="s">
        <v>67</v>
      </c>
    </row>
    <row r="3832" spans="1:11" ht="42" customHeight="1">
      <c r="A3832" s="2" t="s">
        <v>9456</v>
      </c>
      <c r="B3832" s="2" t="s">
        <v>9457</v>
      </c>
      <c r="C3832" s="2" t="s">
        <v>136</v>
      </c>
      <c r="D3832" s="2" t="s">
        <v>18</v>
      </c>
      <c r="E3832" s="5">
        <v>-29479</v>
      </c>
      <c r="F3832" s="3" t="s">
        <v>979</v>
      </c>
      <c r="G3832" s="3" t="s">
        <v>33</v>
      </c>
      <c r="H3832" s="2" t="s">
        <v>21</v>
      </c>
      <c r="I3832" s="2" t="s">
        <v>9458</v>
      </c>
      <c r="J3832" s="3" t="str">
        <f>HYPERLINK("https://www.boe.es/gazeta/dias/1819/04/15/pdfs/GMD-1819-45.pdf#page=6","Abrir facsímil")</f>
        <v>Abrir facsímil</v>
      </c>
      <c r="K3832" s="3" t="s">
        <v>23</v>
      </c>
    </row>
    <row r="3833" spans="1:11" ht="42" customHeight="1">
      <c r="A3833" s="2" t="s">
        <v>9459</v>
      </c>
      <c r="B3833" s="2" t="s">
        <v>9460</v>
      </c>
      <c r="C3833" s="2" t="s">
        <v>80</v>
      </c>
      <c r="D3833" s="2" t="s">
        <v>81</v>
      </c>
      <c r="E3833" s="5">
        <v>-29365</v>
      </c>
      <c r="F3833" s="3" t="s">
        <v>218</v>
      </c>
      <c r="G3833" s="3" t="s">
        <v>953</v>
      </c>
      <c r="H3833" s="2" t="s">
        <v>65</v>
      </c>
      <c r="I3833" s="2" t="s">
        <v>9461</v>
      </c>
      <c r="J3833" s="3" t="str">
        <f>HYPERLINK("https://www.boe.es/gazeta/dias/1819/08/07/pdfs/GMD-1819-95.pdf#page=7","Abrir facsímil")</f>
        <v>Abrir facsímil</v>
      </c>
      <c r="K3833" s="3" t="s">
        <v>67</v>
      </c>
    </row>
    <row r="3834" spans="1:11" ht="42" customHeight="1">
      <c r="A3834" s="2" t="s">
        <v>9462</v>
      </c>
      <c r="B3834" s="2" t="s">
        <v>9463</v>
      </c>
      <c r="C3834" s="2" t="s">
        <v>80</v>
      </c>
      <c r="D3834" s="2" t="s">
        <v>81</v>
      </c>
      <c r="E3834" s="5">
        <v>-29388</v>
      </c>
      <c r="F3834" s="3" t="s">
        <v>879</v>
      </c>
      <c r="G3834" s="3" t="s">
        <v>2554</v>
      </c>
      <c r="H3834" s="2" t="s">
        <v>65</v>
      </c>
      <c r="I3834" s="2" t="s">
        <v>9464</v>
      </c>
      <c r="J3834" s="3" t="str">
        <f>HYPERLINK("https://www.boe.es/gazeta/dias/1819/07/15/pdfs/GMD-1819-85.pdf#page=6","Abrir facsímil")</f>
        <v>Abrir facsímil</v>
      </c>
      <c r="K3834" s="3" t="s">
        <v>67</v>
      </c>
    </row>
    <row r="3835" spans="1:11" ht="42" customHeight="1">
      <c r="A3835" s="2" t="s">
        <v>9465</v>
      </c>
      <c r="B3835" s="2" t="s">
        <v>9466</v>
      </c>
      <c r="C3835" s="2" t="s">
        <v>59</v>
      </c>
      <c r="D3835" s="2" t="s">
        <v>18</v>
      </c>
      <c r="E3835" s="5">
        <v>-29292</v>
      </c>
      <c r="F3835" s="3" t="s">
        <v>875</v>
      </c>
      <c r="G3835" s="3" t="s">
        <v>28</v>
      </c>
      <c r="H3835" s="2" t="s">
        <v>65</v>
      </c>
      <c r="I3835" s="2" t="s">
        <v>9467</v>
      </c>
      <c r="J3835" s="3" t="str">
        <f>HYPERLINK("https://www.boe.es/gazeta/dias/1819/10/19/pdfs/GMD-1819-128.pdf#page=8","Abrir facsímil")</f>
        <v>Abrir facsímil</v>
      </c>
      <c r="K3835" s="3" t="s">
        <v>67</v>
      </c>
    </row>
    <row r="3836" spans="1:11" ht="42" customHeight="1">
      <c r="A3836" s="2" t="s">
        <v>9468</v>
      </c>
      <c r="B3836" s="2" t="s">
        <v>9469</v>
      </c>
      <c r="C3836" s="2" t="s">
        <v>17</v>
      </c>
      <c r="D3836" s="2" t="s">
        <v>18</v>
      </c>
      <c r="E3836" s="5">
        <v>-29262</v>
      </c>
      <c r="F3836" s="3" t="s">
        <v>1428</v>
      </c>
      <c r="G3836" s="3" t="s">
        <v>28</v>
      </c>
      <c r="H3836" s="2" t="s">
        <v>65</v>
      </c>
      <c r="I3836" s="2" t="s">
        <v>9470</v>
      </c>
      <c r="J3836" s="3" t="str">
        <f>HYPERLINK("https://www.boe.es/gazeta/dias/1819/11/18/pdfs/GMD-1819-142.pdf#page=8","Abrir facsímil")</f>
        <v>Abrir facsímil</v>
      </c>
      <c r="K3836" s="3" t="s">
        <v>67</v>
      </c>
    </row>
    <row r="3837" spans="1:11" ht="42" customHeight="1">
      <c r="A3837" s="2" t="s">
        <v>9471</v>
      </c>
      <c r="B3837" s="2" t="s">
        <v>9472</v>
      </c>
      <c r="C3837" s="2" t="s">
        <v>80</v>
      </c>
      <c r="D3837" s="2" t="s">
        <v>81</v>
      </c>
      <c r="E3837" s="5">
        <v>-29248</v>
      </c>
      <c r="F3837" s="3" t="s">
        <v>395</v>
      </c>
      <c r="G3837" s="3" t="s">
        <v>94</v>
      </c>
      <c r="H3837" s="2" t="s">
        <v>65</v>
      </c>
      <c r="I3837" s="2" t="s">
        <v>9473</v>
      </c>
      <c r="J3837" s="3" t="str">
        <f>HYPERLINK("https://www.boe.es/gazeta/dias/1819/12/02/pdfs/GMD-1819-148.pdf#page=11","Abrir facsímil")</f>
        <v>Abrir facsímil</v>
      </c>
      <c r="K3837" s="3" t="s">
        <v>67</v>
      </c>
    </row>
    <row r="3838" spans="1:11" ht="42" customHeight="1">
      <c r="A3838" s="2" t="s">
        <v>9474</v>
      </c>
      <c r="B3838" s="2" t="s">
        <v>9475</v>
      </c>
      <c r="C3838" s="2" t="s">
        <v>26</v>
      </c>
      <c r="D3838" s="2" t="s">
        <v>454</v>
      </c>
      <c r="E3838" s="5">
        <v>-29287</v>
      </c>
      <c r="F3838" s="3" t="s">
        <v>455</v>
      </c>
      <c r="G3838" s="3" t="s">
        <v>20</v>
      </c>
      <c r="H3838" s="2" t="s">
        <v>65</v>
      </c>
      <c r="I3838" s="2" t="s">
        <v>9476</v>
      </c>
      <c r="J3838" s="3" t="str">
        <f>HYPERLINK("https://www.boe.es/gazeta/dias/1819/10/24/pdfs/GMD-1819-131E.pdf#page=10","Abrir facsímil")</f>
        <v>Abrir facsímil</v>
      </c>
      <c r="K3838" s="3" t="s">
        <v>67</v>
      </c>
    </row>
    <row r="3839" spans="1:11" ht="42" customHeight="1">
      <c r="A3839" s="2" t="s">
        <v>9477</v>
      </c>
      <c r="B3839" s="2" t="s">
        <v>9478</v>
      </c>
      <c r="C3839" s="2" t="s">
        <v>59</v>
      </c>
      <c r="D3839" s="2" t="s">
        <v>18</v>
      </c>
      <c r="E3839" s="5">
        <v>-29278</v>
      </c>
      <c r="F3839" s="3" t="s">
        <v>1950</v>
      </c>
      <c r="G3839" s="3" t="s">
        <v>28</v>
      </c>
      <c r="H3839" s="2" t="s">
        <v>65</v>
      </c>
      <c r="I3839" s="2" t="s">
        <v>9479</v>
      </c>
      <c r="J3839" s="3" t="str">
        <f>HYPERLINK("https://www.boe.es/gazeta/dias/1819/11/02/pdfs/GMD-1819-135.pdf#page=8","Abrir facsímil")</f>
        <v>Abrir facsímil</v>
      </c>
      <c r="K3839" s="3" t="s">
        <v>67</v>
      </c>
    </row>
    <row r="3840" spans="1:11" ht="42" customHeight="1">
      <c r="A3840" s="2" t="s">
        <v>9480</v>
      </c>
      <c r="B3840" s="2" t="s">
        <v>9481</v>
      </c>
      <c r="C3840" s="2" t="s">
        <v>59</v>
      </c>
      <c r="D3840" s="2" t="s">
        <v>18</v>
      </c>
      <c r="E3840" s="5">
        <v>-29292</v>
      </c>
      <c r="F3840" s="3" t="s">
        <v>875</v>
      </c>
      <c r="G3840" s="3" t="s">
        <v>28</v>
      </c>
      <c r="H3840" s="2" t="s">
        <v>65</v>
      </c>
      <c r="I3840" s="2" t="s">
        <v>9482</v>
      </c>
      <c r="J3840" s="3" t="str">
        <f>HYPERLINK("https://www.boe.es/gazeta/dias/1819/10/19/pdfs/GMD-1819-128.pdf#page=8","Abrir facsímil")</f>
        <v>Abrir facsímil</v>
      </c>
      <c r="K3840" s="3" t="s">
        <v>67</v>
      </c>
    </row>
    <row r="3841" spans="1:11" ht="42" customHeight="1">
      <c r="A3841" s="2" t="s">
        <v>9483</v>
      </c>
      <c r="B3841" s="2" t="s">
        <v>9483</v>
      </c>
      <c r="C3841" s="2" t="s">
        <v>80</v>
      </c>
      <c r="D3841" s="2" t="s">
        <v>81</v>
      </c>
      <c r="E3841" s="5">
        <v>-29435</v>
      </c>
      <c r="F3841" s="3" t="s">
        <v>191</v>
      </c>
      <c r="G3841" s="3" t="s">
        <v>102</v>
      </c>
      <c r="H3841" s="2" t="s">
        <v>65</v>
      </c>
      <c r="I3841" s="2" t="s">
        <v>9484</v>
      </c>
      <c r="J3841" s="3" t="str">
        <f>HYPERLINK("https://www.boe.es/gazeta/dias/1819/05/29/pdfs/GMD-1819-64.pdf#page=3","Abrir facsímil")</f>
        <v>Abrir facsímil</v>
      </c>
      <c r="K3841" s="3" t="s">
        <v>67</v>
      </c>
    </row>
    <row r="3842" spans="1:11" ht="42" customHeight="1">
      <c r="A3842" s="2" t="s">
        <v>9485</v>
      </c>
      <c r="B3842" s="2" t="s">
        <v>9485</v>
      </c>
      <c r="C3842" s="2" t="s">
        <v>80</v>
      </c>
      <c r="D3842" s="2" t="s">
        <v>81</v>
      </c>
      <c r="E3842" s="5">
        <v>-29442</v>
      </c>
      <c r="F3842" s="3" t="s">
        <v>427</v>
      </c>
      <c r="G3842" s="3" t="s">
        <v>259</v>
      </c>
      <c r="H3842" s="2" t="s">
        <v>65</v>
      </c>
      <c r="I3842" s="2" t="s">
        <v>9486</v>
      </c>
      <c r="J3842" s="3" t="str">
        <f>HYPERLINK("https://www.boe.es/gazeta/dias/1819/05/22/pdfs/GMD-1819-61.pdf#page=2","Abrir facsímil")</f>
        <v>Abrir facsímil</v>
      </c>
      <c r="K3842" s="3" t="s">
        <v>67</v>
      </c>
    </row>
    <row r="3843" spans="1:11" ht="42" customHeight="1">
      <c r="A3843" s="2" t="s">
        <v>9487</v>
      </c>
      <c r="B3843" s="2" t="s">
        <v>9488</v>
      </c>
      <c r="C3843" s="2" t="s">
        <v>59</v>
      </c>
      <c r="D3843" s="2" t="s">
        <v>18</v>
      </c>
      <c r="E3843" s="5">
        <v>-29425</v>
      </c>
      <c r="F3843" s="3" t="s">
        <v>110</v>
      </c>
      <c r="G3843" s="3" t="s">
        <v>55</v>
      </c>
      <c r="H3843" s="2" t="s">
        <v>65</v>
      </c>
      <c r="I3843" s="2" t="s">
        <v>9489</v>
      </c>
      <c r="J3843" s="3" t="str">
        <f>HYPERLINK("https://www.boe.es/gazeta/dias/1819/06/08/pdfs/GMD-1819-68.pdf#page=7","Abrir facsímil")</f>
        <v>Abrir facsímil</v>
      </c>
      <c r="K3843" s="3" t="s">
        <v>67</v>
      </c>
    </row>
    <row r="3844" spans="1:11" ht="42" customHeight="1">
      <c r="A3844" s="2" t="s">
        <v>9490</v>
      </c>
      <c r="B3844" s="2" t="s">
        <v>9490</v>
      </c>
      <c r="C3844" s="2" t="s">
        <v>80</v>
      </c>
      <c r="D3844" s="2" t="s">
        <v>81</v>
      </c>
      <c r="E3844" s="5">
        <v>-29446</v>
      </c>
      <c r="F3844" s="3" t="s">
        <v>773</v>
      </c>
      <c r="G3844" s="3" t="s">
        <v>9491</v>
      </c>
      <c r="H3844" s="2" t="s">
        <v>65</v>
      </c>
      <c r="I3844" s="2" t="s">
        <v>9492</v>
      </c>
      <c r="J3844" s="3" t="str">
        <f>HYPERLINK("https://www.boe.es/gazeta/dias/1819/05/18/pdfs/GMD-1819-59.pdf#page=5","Abrir facsímil")</f>
        <v>Abrir facsímil</v>
      </c>
      <c r="K3844" s="3" t="s">
        <v>67</v>
      </c>
    </row>
    <row r="3845" spans="1:11" ht="42" customHeight="1">
      <c r="A3845" s="2" t="s">
        <v>9493</v>
      </c>
      <c r="B3845" s="2" t="s">
        <v>9494</v>
      </c>
      <c r="C3845" s="2" t="s">
        <v>136</v>
      </c>
      <c r="D3845" s="2" t="s">
        <v>18</v>
      </c>
      <c r="E3845" s="5">
        <v>-29369</v>
      </c>
      <c r="F3845" s="3" t="s">
        <v>231</v>
      </c>
      <c r="G3845" s="3" t="s">
        <v>28</v>
      </c>
      <c r="H3845" s="2" t="s">
        <v>65</v>
      </c>
      <c r="I3845" s="2" t="s">
        <v>9495</v>
      </c>
      <c r="J3845" s="3" t="str">
        <f>HYPERLINK("https://www.boe.es/gazeta/dias/1819/08/03/pdfs/GMD-1819-93.pdf#page=8","Abrir facsímil")</f>
        <v>Abrir facsímil</v>
      </c>
      <c r="K3845" s="3" t="s">
        <v>67</v>
      </c>
    </row>
    <row r="3846" spans="1:11" ht="42" customHeight="1">
      <c r="A3846" s="2" t="s">
        <v>9496</v>
      </c>
      <c r="B3846" s="2" t="s">
        <v>9497</v>
      </c>
      <c r="C3846" s="2" t="s">
        <v>80</v>
      </c>
      <c r="D3846" s="2" t="s">
        <v>81</v>
      </c>
      <c r="E3846" s="5">
        <v>-29227</v>
      </c>
      <c r="F3846" s="3" t="s">
        <v>98</v>
      </c>
      <c r="G3846" s="3" t="s">
        <v>55</v>
      </c>
      <c r="H3846" s="2" t="s">
        <v>65</v>
      </c>
      <c r="I3846" s="2" t="s">
        <v>9498</v>
      </c>
      <c r="J3846" s="3" t="str">
        <f>HYPERLINK("https://www.boe.es/gazeta/dias/1819/12/23/pdfs/GMD-1819-157.pdf#page=7","Abrir facsímil")</f>
        <v>Abrir facsímil</v>
      </c>
      <c r="K3846" s="3" t="s">
        <v>67</v>
      </c>
    </row>
    <row r="3847" spans="1:11" ht="42" customHeight="1">
      <c r="A3847" s="2" t="s">
        <v>9499</v>
      </c>
      <c r="B3847" s="2" t="s">
        <v>9500</v>
      </c>
      <c r="C3847" s="2" t="s">
        <v>80</v>
      </c>
      <c r="D3847" s="2" t="s">
        <v>81</v>
      </c>
      <c r="E3847" s="5">
        <v>-29458</v>
      </c>
      <c r="F3847" s="3" t="s">
        <v>766</v>
      </c>
      <c r="G3847" s="3" t="s">
        <v>38</v>
      </c>
      <c r="H3847" s="2" t="s">
        <v>65</v>
      </c>
      <c r="I3847" s="2" t="s">
        <v>9501</v>
      </c>
      <c r="J3847" s="3" t="str">
        <f>HYPERLINK("https://www.boe.es/gazeta/dias/1819/05/06/pdfs/GMD-1819-54.pdf#page=5","Abrir facsímil")</f>
        <v>Abrir facsímil</v>
      </c>
      <c r="K3847" s="3" t="s">
        <v>67</v>
      </c>
    </row>
    <row r="3848" spans="1:11" ht="42" customHeight="1">
      <c r="A3848" s="2" t="s">
        <v>9499</v>
      </c>
      <c r="B3848" s="2" t="s">
        <v>9500</v>
      </c>
      <c r="C3848" s="2" t="s">
        <v>80</v>
      </c>
      <c r="D3848" s="2" t="s">
        <v>81</v>
      </c>
      <c r="E3848" s="5">
        <v>-29446</v>
      </c>
      <c r="F3848" s="3" t="s">
        <v>773</v>
      </c>
      <c r="G3848" s="3" t="s">
        <v>9491</v>
      </c>
      <c r="H3848" s="2" t="s">
        <v>65</v>
      </c>
      <c r="I3848" s="2" t="s">
        <v>9502</v>
      </c>
      <c r="J3848" s="3" t="str">
        <f>HYPERLINK("https://www.boe.es/gazeta/dias/1819/05/18/pdfs/GMD-1819-59.pdf#page=5","Abrir facsímil")</f>
        <v>Abrir facsímil</v>
      </c>
      <c r="K3848" s="3" t="s">
        <v>67</v>
      </c>
    </row>
    <row r="3849" spans="1:11" ht="42" customHeight="1">
      <c r="A3849" s="2" t="s">
        <v>9503</v>
      </c>
      <c r="B3849" s="2" t="s">
        <v>9504</v>
      </c>
      <c r="C3849" s="2" t="s">
        <v>80</v>
      </c>
      <c r="D3849" s="2" t="s">
        <v>81</v>
      </c>
      <c r="E3849" s="5">
        <v>-29271</v>
      </c>
      <c r="F3849" s="3" t="s">
        <v>32</v>
      </c>
      <c r="G3849" s="3" t="s">
        <v>28</v>
      </c>
      <c r="H3849" s="2" t="s">
        <v>21</v>
      </c>
      <c r="I3849" s="2" t="s">
        <v>9505</v>
      </c>
      <c r="J3849" s="3" t="str">
        <f>HYPERLINK("https://www.boe.es/gazeta/dias/1819/11/09/pdfs/GMD-1819-138.pdf#page=8","Abrir facsímil")</f>
        <v>Abrir facsímil</v>
      </c>
      <c r="K3849" s="3" t="s">
        <v>23</v>
      </c>
    </row>
    <row r="3850" spans="1:11" ht="42" customHeight="1">
      <c r="A3850" s="2" t="s">
        <v>9506</v>
      </c>
      <c r="B3850" s="2" t="s">
        <v>9507</v>
      </c>
      <c r="C3850" s="2" t="s">
        <v>80</v>
      </c>
      <c r="D3850" s="2" t="s">
        <v>454</v>
      </c>
      <c r="E3850" s="5">
        <v>-29287</v>
      </c>
      <c r="F3850" s="3" t="s">
        <v>455</v>
      </c>
      <c r="G3850" s="3" t="s">
        <v>456</v>
      </c>
      <c r="H3850" s="2" t="s">
        <v>65</v>
      </c>
      <c r="I3850" s="2" t="s">
        <v>9508</v>
      </c>
      <c r="J3850" s="3" t="str">
        <f>HYPERLINK("https://www.boe.es/gazeta/dias/1819/10/24/pdfs/GMD-1819-131E.pdf#page=9","Abrir facsímil")</f>
        <v>Abrir facsímil</v>
      </c>
      <c r="K3850" s="3" t="s">
        <v>67</v>
      </c>
    </row>
    <row r="3851" spans="1:11" ht="42" customHeight="1">
      <c r="A3851" s="2" t="s">
        <v>9509</v>
      </c>
      <c r="B3851" s="2" t="s">
        <v>9510</v>
      </c>
      <c r="C3851" s="2" t="s">
        <v>80</v>
      </c>
      <c r="D3851" s="2" t="s">
        <v>81</v>
      </c>
      <c r="E3851" s="5">
        <v>-29246</v>
      </c>
      <c r="F3851" s="3" t="s">
        <v>494</v>
      </c>
      <c r="G3851" s="3" t="s">
        <v>495</v>
      </c>
      <c r="H3851" s="2" t="s">
        <v>65</v>
      </c>
      <c r="I3851" s="2" t="s">
        <v>9511</v>
      </c>
      <c r="J3851" s="3" t="str">
        <f>HYPERLINK("https://www.boe.es/gazeta/dias/1819/12/04/pdfs/GMD-1819-149.pdf#page=6","Abrir facsímil")</f>
        <v>Abrir facsímil</v>
      </c>
      <c r="K3851" s="3" t="s">
        <v>67</v>
      </c>
    </row>
    <row r="3852" spans="1:11" ht="42" customHeight="1">
      <c r="A3852" s="2" t="s">
        <v>9512</v>
      </c>
      <c r="B3852" s="2" t="s">
        <v>9512</v>
      </c>
      <c r="C3852" s="2" t="s">
        <v>80</v>
      </c>
      <c r="D3852" s="2" t="s">
        <v>81</v>
      </c>
      <c r="E3852" s="5">
        <v>-29533</v>
      </c>
      <c r="F3852" s="3" t="s">
        <v>280</v>
      </c>
      <c r="G3852" s="3" t="s">
        <v>38</v>
      </c>
      <c r="H3852" s="2" t="s">
        <v>65</v>
      </c>
      <c r="I3852" s="2" t="s">
        <v>9513</v>
      </c>
      <c r="J3852" s="3" t="str">
        <f>HYPERLINK("https://www.boe.es/gazeta/dias/1819/02/20/pdfs/GMD-1819-22.pdf#page=5","Abrir facsímil")</f>
        <v>Abrir facsímil</v>
      </c>
      <c r="K3852" s="3" t="s">
        <v>67</v>
      </c>
    </row>
    <row r="3853" spans="1:11" ht="42" customHeight="1">
      <c r="A3853" s="2" t="s">
        <v>9514</v>
      </c>
      <c r="B3853" s="2" t="s">
        <v>9515</v>
      </c>
      <c r="C3853" s="2" t="s">
        <v>80</v>
      </c>
      <c r="D3853" s="2" t="s">
        <v>81</v>
      </c>
      <c r="E3853" s="5">
        <v>-29260</v>
      </c>
      <c r="F3853" s="3" t="s">
        <v>93</v>
      </c>
      <c r="G3853" s="3" t="s">
        <v>1275</v>
      </c>
      <c r="H3853" s="2" t="s">
        <v>65</v>
      </c>
      <c r="I3853" s="2" t="s">
        <v>9516</v>
      </c>
      <c r="J3853" s="3" t="str">
        <f>HYPERLINK("https://www.boe.es/gazeta/dias/1819/11/20/pdfs/GMD-1819-143.pdf#page=10","Abrir facsímil")</f>
        <v>Abrir facsímil</v>
      </c>
      <c r="K3853" s="3" t="s">
        <v>67</v>
      </c>
    </row>
    <row r="3854" spans="1:11" ht="42" customHeight="1">
      <c r="A3854" s="2" t="s">
        <v>9517</v>
      </c>
      <c r="B3854" s="2" t="s">
        <v>9518</v>
      </c>
      <c r="C3854" s="2" t="s">
        <v>26</v>
      </c>
      <c r="D3854" s="2" t="s">
        <v>18</v>
      </c>
      <c r="E3854" s="5">
        <v>-29442</v>
      </c>
      <c r="F3854" s="3" t="s">
        <v>427</v>
      </c>
      <c r="G3854" s="3" t="s">
        <v>28</v>
      </c>
      <c r="H3854" s="2" t="s">
        <v>65</v>
      </c>
      <c r="I3854" s="2" t="s">
        <v>9519</v>
      </c>
      <c r="J3854" s="3" t="str">
        <f>HYPERLINK("https://www.boe.es/gazeta/dias/1819/05/22/pdfs/GMD-1819-61.pdf#page=8","Abrir facsímil")</f>
        <v>Abrir facsímil</v>
      </c>
      <c r="K3854" s="3" t="s">
        <v>67</v>
      </c>
    </row>
    <row r="3855" spans="1:11" ht="42" customHeight="1">
      <c r="A3855" s="2" t="s">
        <v>9520</v>
      </c>
      <c r="B3855" s="2" t="s">
        <v>9521</v>
      </c>
      <c r="C3855" s="2" t="s">
        <v>63</v>
      </c>
      <c r="D3855" s="2" t="s">
        <v>43</v>
      </c>
      <c r="E3855" s="5">
        <v>-29451</v>
      </c>
      <c r="F3855" s="3" t="s">
        <v>208</v>
      </c>
      <c r="G3855" s="3" t="s">
        <v>55</v>
      </c>
      <c r="H3855" s="2" t="s">
        <v>65</v>
      </c>
      <c r="I3855" s="2" t="s">
        <v>9522</v>
      </c>
      <c r="J3855" s="3" t="str">
        <f>HYPERLINK("https://www.boe.es/gazeta/dias/1819/05/13/pdfs/GMD-1819-57.pdf#page=7","Abrir facsímil")</f>
        <v>Abrir facsímil</v>
      </c>
      <c r="K3855" s="3" t="s">
        <v>67</v>
      </c>
    </row>
    <row r="3856" spans="1:11" ht="42" customHeight="1">
      <c r="A3856" s="2" t="s">
        <v>9520</v>
      </c>
      <c r="B3856" s="2" t="s">
        <v>9521</v>
      </c>
      <c r="C3856" s="2" t="s">
        <v>17</v>
      </c>
      <c r="D3856" s="2" t="s">
        <v>18</v>
      </c>
      <c r="E3856" s="5">
        <v>-29257</v>
      </c>
      <c r="F3856" s="3" t="s">
        <v>73</v>
      </c>
      <c r="G3856" s="3" t="s">
        <v>33</v>
      </c>
      <c r="H3856" s="2" t="s">
        <v>65</v>
      </c>
      <c r="I3856" s="2" t="s">
        <v>9523</v>
      </c>
      <c r="J3856" s="3" t="str">
        <f>HYPERLINK("https://www.boe.es/gazeta/dias/1819/11/23/pdfs/GMD-1819-144.pdf#page=6","Abrir facsímil")</f>
        <v>Abrir facsímil</v>
      </c>
      <c r="K3856" s="3" t="s">
        <v>67</v>
      </c>
    </row>
    <row r="3857" spans="1:11" ht="42" customHeight="1">
      <c r="A3857" s="2" t="s">
        <v>9524</v>
      </c>
      <c r="B3857" s="2" t="s">
        <v>9525</v>
      </c>
      <c r="C3857" s="2" t="s">
        <v>215</v>
      </c>
      <c r="D3857" s="2" t="s">
        <v>18</v>
      </c>
      <c r="E3857" s="5">
        <v>-29334</v>
      </c>
      <c r="F3857" s="3" t="s">
        <v>3082</v>
      </c>
      <c r="G3857" s="3" t="s">
        <v>28</v>
      </c>
      <c r="H3857" s="2" t="s">
        <v>21</v>
      </c>
      <c r="I3857" s="2" t="s">
        <v>9526</v>
      </c>
      <c r="J3857" s="3" t="str">
        <f>HYPERLINK("https://www.boe.es/gazeta/dias/1819/09/07/pdfs/GMD-1819-109.pdf#page=8","Abrir facsímil")</f>
        <v>Abrir facsímil</v>
      </c>
      <c r="K3857" s="3" t="s">
        <v>23</v>
      </c>
    </row>
    <row r="3858" spans="1:11" ht="42" customHeight="1">
      <c r="A3858" s="2" t="s">
        <v>9527</v>
      </c>
      <c r="B3858" s="2" t="s">
        <v>9528</v>
      </c>
      <c r="C3858" s="2" t="s">
        <v>63</v>
      </c>
      <c r="D3858" s="2" t="s">
        <v>43</v>
      </c>
      <c r="E3858" s="5">
        <v>-29453</v>
      </c>
      <c r="F3858" s="3" t="s">
        <v>768</v>
      </c>
      <c r="G3858" s="3" t="s">
        <v>28</v>
      </c>
      <c r="H3858" s="2" t="s">
        <v>21</v>
      </c>
      <c r="I3858" s="2" t="s">
        <v>9529</v>
      </c>
      <c r="J3858" s="3" t="str">
        <f>HYPERLINK("https://www.boe.es/gazeta/dias/1819/05/11/pdfs/GMD-1819-56.pdf#page=8","Abrir facsímil")</f>
        <v>Abrir facsímil</v>
      </c>
      <c r="K3858" s="3" t="s">
        <v>23</v>
      </c>
    </row>
    <row r="3859" spans="1:11" ht="42" customHeight="1">
      <c r="A3859" s="2" t="s">
        <v>9527</v>
      </c>
      <c r="B3859" s="2" t="s">
        <v>9528</v>
      </c>
      <c r="C3859" s="2" t="s">
        <v>63</v>
      </c>
      <c r="D3859" s="2" t="s">
        <v>43</v>
      </c>
      <c r="E3859" s="5">
        <v>-29425</v>
      </c>
      <c r="F3859" s="3" t="s">
        <v>110</v>
      </c>
      <c r="G3859" s="3" t="s">
        <v>28</v>
      </c>
      <c r="H3859" s="2" t="s">
        <v>21</v>
      </c>
      <c r="I3859" s="2" t="s">
        <v>9530</v>
      </c>
      <c r="J3859" s="3" t="str">
        <f>HYPERLINK("https://www.boe.es/gazeta/dias/1819/06/08/pdfs/GMD-1819-68.pdf#page=8","Abrir facsímil")</f>
        <v>Abrir facsímil</v>
      </c>
      <c r="K3859" s="3" t="s">
        <v>23</v>
      </c>
    </row>
    <row r="3860" spans="1:11" ht="42" customHeight="1">
      <c r="A3860" s="2" t="s">
        <v>9527</v>
      </c>
      <c r="B3860" s="2" t="s">
        <v>9528</v>
      </c>
      <c r="C3860" s="2" t="s">
        <v>63</v>
      </c>
      <c r="D3860" s="2" t="s">
        <v>43</v>
      </c>
      <c r="E3860" s="5">
        <v>-29376</v>
      </c>
      <c r="F3860" s="3" t="s">
        <v>332</v>
      </c>
      <c r="G3860" s="3" t="s">
        <v>28</v>
      </c>
      <c r="H3860" s="2" t="s">
        <v>21</v>
      </c>
      <c r="I3860" s="2" t="s">
        <v>9531</v>
      </c>
      <c r="J3860" s="3" t="str">
        <f>HYPERLINK("https://www.boe.es/gazeta/dias/1819/07/27/pdfs/GMD-1819-90.pdf#page=8","Abrir facsímil")</f>
        <v>Abrir facsímil</v>
      </c>
      <c r="K3860" s="3" t="s">
        <v>23</v>
      </c>
    </row>
    <row r="3861" spans="1:11" ht="42" customHeight="1">
      <c r="A3861" s="2" t="s">
        <v>9527</v>
      </c>
      <c r="B3861" s="2" t="s">
        <v>9528</v>
      </c>
      <c r="C3861" s="2" t="s">
        <v>63</v>
      </c>
      <c r="D3861" s="2" t="s">
        <v>43</v>
      </c>
      <c r="E3861" s="5">
        <v>-29288</v>
      </c>
      <c r="F3861" s="3" t="s">
        <v>334</v>
      </c>
      <c r="G3861" s="3" t="s">
        <v>28</v>
      </c>
      <c r="H3861" s="2" t="s">
        <v>21</v>
      </c>
      <c r="I3861" s="2" t="s">
        <v>9532</v>
      </c>
      <c r="J3861" s="3" t="str">
        <f>HYPERLINK("https://www.boe.es/gazeta/dias/1819/10/23/pdfs/GMD-1819-130.pdf#page=8","Abrir facsímil")</f>
        <v>Abrir facsímil</v>
      </c>
      <c r="K3861" s="3" t="s">
        <v>23</v>
      </c>
    </row>
    <row r="3862" spans="1:11" ht="42" customHeight="1">
      <c r="A3862" s="2" t="s">
        <v>9533</v>
      </c>
      <c r="B3862" s="2" t="s">
        <v>9534</v>
      </c>
      <c r="C3862" s="2" t="s">
        <v>63</v>
      </c>
      <c r="D3862" s="2" t="s">
        <v>43</v>
      </c>
      <c r="E3862" s="5">
        <v>-29236</v>
      </c>
      <c r="F3862" s="3" t="s">
        <v>379</v>
      </c>
      <c r="G3862" s="3" t="s">
        <v>28</v>
      </c>
      <c r="H3862" s="2" t="s">
        <v>21</v>
      </c>
      <c r="I3862" s="2" t="s">
        <v>9535</v>
      </c>
      <c r="J3862" s="3" t="str">
        <f>HYPERLINK("https://www.boe.es/gazeta/dias/1819/12/14/pdfs/GMD-1819-153.pdf#page=8","Abrir facsímil")</f>
        <v>Abrir facsímil</v>
      </c>
      <c r="K3862" s="3" t="s">
        <v>23</v>
      </c>
    </row>
    <row r="3863" spans="1:11" ht="42" customHeight="1">
      <c r="A3863" s="2" t="s">
        <v>9536</v>
      </c>
      <c r="B3863" s="2" t="s">
        <v>9537</v>
      </c>
      <c r="C3863" s="2" t="s">
        <v>63</v>
      </c>
      <c r="D3863" s="2" t="s">
        <v>43</v>
      </c>
      <c r="E3863" s="5">
        <v>-29383</v>
      </c>
      <c r="F3863" s="3" t="s">
        <v>631</v>
      </c>
      <c r="G3863" s="3" t="s">
        <v>28</v>
      </c>
      <c r="H3863" s="2" t="s">
        <v>21</v>
      </c>
      <c r="I3863" s="2" t="s">
        <v>9538</v>
      </c>
      <c r="J3863" s="3" t="str">
        <f>HYPERLINK("https://www.boe.es/gazeta/dias/1819/07/20/pdfs/GMD-1819-87.pdf#page=8","Abrir facsímil")</f>
        <v>Abrir facsímil</v>
      </c>
      <c r="K3863" s="3" t="s">
        <v>23</v>
      </c>
    </row>
    <row r="3864" spans="1:11" ht="42" customHeight="1">
      <c r="A3864" s="2" t="s">
        <v>9539</v>
      </c>
      <c r="B3864" s="2" t="s">
        <v>9540</v>
      </c>
      <c r="C3864" s="2" t="s">
        <v>63</v>
      </c>
      <c r="D3864" s="2" t="s">
        <v>43</v>
      </c>
      <c r="E3864" s="5">
        <v>-29404</v>
      </c>
      <c r="F3864" s="3" t="s">
        <v>1939</v>
      </c>
      <c r="G3864" s="3" t="s">
        <v>28</v>
      </c>
      <c r="H3864" s="2" t="s">
        <v>21</v>
      </c>
      <c r="I3864" s="2" t="s">
        <v>9541</v>
      </c>
      <c r="J3864" s="3" t="str">
        <f>HYPERLINK("https://www.boe.es/gazeta/dias/1819/06/29/pdfs/GMD-1819-78.pdf#page=8","Abrir facsímil")</f>
        <v>Abrir facsímil</v>
      </c>
      <c r="K3864" s="3" t="s">
        <v>23</v>
      </c>
    </row>
    <row r="3865" spans="1:11" ht="42" customHeight="1">
      <c r="A3865" s="2" t="s">
        <v>9542</v>
      </c>
      <c r="B3865" s="2" t="s">
        <v>9543</v>
      </c>
      <c r="C3865" s="2" t="s">
        <v>80</v>
      </c>
      <c r="D3865" s="2" t="s">
        <v>454</v>
      </c>
      <c r="E3865" s="5">
        <v>-29287</v>
      </c>
      <c r="F3865" s="3" t="s">
        <v>455</v>
      </c>
      <c r="G3865" s="3" t="s">
        <v>456</v>
      </c>
      <c r="H3865" s="2" t="s">
        <v>21</v>
      </c>
      <c r="I3865" s="2" t="s">
        <v>9544</v>
      </c>
      <c r="J3865" s="3" t="str">
        <f>HYPERLINK("https://www.boe.es/gazeta/dias/1819/10/24/pdfs/GMD-1819-131E.pdf#page=9","Abrir facsímil")</f>
        <v>Abrir facsímil</v>
      </c>
      <c r="K3865" s="3" t="s">
        <v>23</v>
      </c>
    </row>
    <row r="3866" spans="1:11" ht="42" customHeight="1">
      <c r="A3866" s="2" t="s">
        <v>9545</v>
      </c>
      <c r="B3866" s="2" t="s">
        <v>9546</v>
      </c>
      <c r="C3866" s="2" t="s">
        <v>63</v>
      </c>
      <c r="D3866" s="2" t="s">
        <v>43</v>
      </c>
      <c r="E3866" s="5">
        <v>-29432</v>
      </c>
      <c r="F3866" s="3" t="s">
        <v>1967</v>
      </c>
      <c r="G3866" s="3" t="s">
        <v>55</v>
      </c>
      <c r="H3866" s="2" t="s">
        <v>21</v>
      </c>
      <c r="I3866" s="2" t="s">
        <v>9547</v>
      </c>
      <c r="J3866" s="3" t="str">
        <f>HYPERLINK("https://www.boe.es/gazeta/dias/1819/06/01/pdfs/GMD-1819-65.pdf#page=7","Abrir facsímil")</f>
        <v>Abrir facsímil</v>
      </c>
      <c r="K3866" s="3" t="s">
        <v>23</v>
      </c>
    </row>
    <row r="3867" spans="1:11" ht="42" customHeight="1">
      <c r="A3867" s="2" t="s">
        <v>9548</v>
      </c>
      <c r="B3867" s="2" t="s">
        <v>9549</v>
      </c>
      <c r="C3867" s="2" t="s">
        <v>63</v>
      </c>
      <c r="D3867" s="2" t="s">
        <v>43</v>
      </c>
      <c r="E3867" s="5">
        <v>-29516</v>
      </c>
      <c r="F3867" s="3" t="s">
        <v>137</v>
      </c>
      <c r="G3867" s="3" t="s">
        <v>20</v>
      </c>
      <c r="H3867" s="2" t="s">
        <v>65</v>
      </c>
      <c r="I3867" s="2" t="s">
        <v>9550</v>
      </c>
      <c r="J3867" s="3" t="str">
        <f>HYPERLINK("https://www.boe.es/gazeta/dias/1819/03/09/pdfs/GMD-1819-29.pdf#page=10","Abrir facsímil")</f>
        <v>Abrir facsímil</v>
      </c>
      <c r="K3867" s="3" t="s">
        <v>67</v>
      </c>
    </row>
    <row r="3868" spans="1:11" ht="42" customHeight="1">
      <c r="A3868" s="2" t="s">
        <v>9551</v>
      </c>
      <c r="B3868" s="2" t="s">
        <v>9551</v>
      </c>
      <c r="C3868" s="2" t="s">
        <v>80</v>
      </c>
      <c r="D3868" s="2" t="s">
        <v>81</v>
      </c>
      <c r="E3868" s="5">
        <v>-29572</v>
      </c>
      <c r="F3868" s="3" t="s">
        <v>589</v>
      </c>
      <c r="G3868" s="3" t="s">
        <v>239</v>
      </c>
      <c r="H3868" s="2" t="s">
        <v>65</v>
      </c>
      <c r="I3868" s="2" t="s">
        <v>9552</v>
      </c>
      <c r="J3868" s="3" t="str">
        <f>HYPERLINK("https://www.boe.es/gazeta/dias/1819/01/12/pdfs/GMD-1819-5.pdf#page=1","Abrir facsímil")</f>
        <v>Abrir facsímil</v>
      </c>
      <c r="K3868" s="3" t="s">
        <v>67</v>
      </c>
    </row>
    <row r="3869" spans="1:11" ht="42" customHeight="1">
      <c r="A3869" s="2" t="s">
        <v>9553</v>
      </c>
      <c r="B3869" s="2" t="s">
        <v>9554</v>
      </c>
      <c r="C3869" s="2" t="s">
        <v>136</v>
      </c>
      <c r="D3869" s="2" t="s">
        <v>18</v>
      </c>
      <c r="E3869" s="5">
        <v>-29267</v>
      </c>
      <c r="F3869" s="3" t="s">
        <v>370</v>
      </c>
      <c r="G3869" s="3" t="s">
        <v>33</v>
      </c>
      <c r="H3869" s="2" t="s">
        <v>65</v>
      </c>
      <c r="I3869" s="2" t="s">
        <v>9555</v>
      </c>
      <c r="J3869" s="3" t="str">
        <f>HYPERLINK("https://www.boe.es/gazeta/dias/1819/11/13/pdfs/GMD-1819-140.pdf#page=6","Abrir facsímil")</f>
        <v>Abrir facsímil</v>
      </c>
      <c r="K3869" s="3" t="s">
        <v>67</v>
      </c>
    </row>
    <row r="3870" spans="1:11" ht="42" customHeight="1">
      <c r="A3870" s="2" t="s">
        <v>9556</v>
      </c>
      <c r="B3870" s="2" t="s">
        <v>9557</v>
      </c>
      <c r="C3870" s="2" t="s">
        <v>63</v>
      </c>
      <c r="D3870" s="2" t="s">
        <v>43</v>
      </c>
      <c r="E3870" s="5">
        <v>-29353</v>
      </c>
      <c r="F3870" s="3" t="s">
        <v>867</v>
      </c>
      <c r="G3870" s="3" t="s">
        <v>868</v>
      </c>
      <c r="H3870" s="2" t="s">
        <v>65</v>
      </c>
      <c r="I3870" s="2" t="s">
        <v>9558</v>
      </c>
      <c r="J3870" s="3" t="str">
        <f>HYPERLINK("https://www.boe.es/gazeta/dias/1819/08/19/pdfs/GMD-1819-100.pdf#page=5","Abrir facsímil")</f>
        <v>Abrir facsímil</v>
      </c>
      <c r="K3870" s="3" t="s">
        <v>67</v>
      </c>
    </row>
    <row r="3871" spans="1:11" ht="42" customHeight="1">
      <c r="A3871" s="2" t="s">
        <v>9559</v>
      </c>
      <c r="B3871" s="2" t="s">
        <v>9560</v>
      </c>
      <c r="C3871" s="2" t="s">
        <v>59</v>
      </c>
      <c r="D3871" s="2" t="s">
        <v>18</v>
      </c>
      <c r="E3871" s="5">
        <v>-29537</v>
      </c>
      <c r="F3871" s="3" t="s">
        <v>593</v>
      </c>
      <c r="G3871" s="3" t="s">
        <v>456</v>
      </c>
      <c r="H3871" s="2" t="s">
        <v>21</v>
      </c>
      <c r="I3871" s="2" t="s">
        <v>9561</v>
      </c>
      <c r="J3871" s="3" t="str">
        <f>HYPERLINK("https://www.boe.es/gazeta/dias/1819/02/16/pdfs/GMD-1819-20.pdf#page=9","Abrir facsímil")</f>
        <v>Abrir facsímil</v>
      </c>
      <c r="K3871" s="3" t="s">
        <v>23</v>
      </c>
    </row>
    <row r="3872" spans="1:11" ht="42" customHeight="1">
      <c r="A3872" s="2" t="s">
        <v>9562</v>
      </c>
      <c r="B3872" s="2" t="s">
        <v>9563</v>
      </c>
      <c r="C3872" s="2" t="s">
        <v>17</v>
      </c>
      <c r="D3872" s="2" t="s">
        <v>18</v>
      </c>
      <c r="E3872" s="5">
        <v>-29572</v>
      </c>
      <c r="F3872" s="3" t="s">
        <v>589</v>
      </c>
      <c r="G3872" s="3" t="s">
        <v>590</v>
      </c>
      <c r="H3872" s="2" t="s">
        <v>21</v>
      </c>
      <c r="I3872" s="2" t="s">
        <v>9564</v>
      </c>
      <c r="J3872" s="3" t="str">
        <f>HYPERLINK("https://www.boe.es/gazeta/dias/1819/01/12/pdfs/GMD-1819-5.pdf#page=8","Abrir facsímil")</f>
        <v>Abrir facsímil</v>
      </c>
      <c r="K3872" s="3" t="s">
        <v>23</v>
      </c>
    </row>
    <row r="3873" spans="1:11" ht="42" customHeight="1">
      <c r="A3873" s="2" t="s">
        <v>9565</v>
      </c>
      <c r="B3873" s="2" t="s">
        <v>9566</v>
      </c>
      <c r="C3873" s="2" t="s">
        <v>26</v>
      </c>
      <c r="D3873" s="2" t="s">
        <v>18</v>
      </c>
      <c r="E3873" s="5">
        <v>-29225</v>
      </c>
      <c r="F3873" s="3" t="s">
        <v>472</v>
      </c>
      <c r="G3873" s="3" t="s">
        <v>55</v>
      </c>
      <c r="H3873" s="2" t="s">
        <v>65</v>
      </c>
      <c r="I3873" s="2" t="s">
        <v>9567</v>
      </c>
      <c r="J3873" s="3" t="str">
        <f>HYPERLINK("https://www.boe.es/gazeta/dias/1819/12/25/pdfs/GMD-1819-158.pdf#page=7","Abrir facsímil")</f>
        <v>Abrir facsímil</v>
      </c>
      <c r="K3873" s="3" t="s">
        <v>67</v>
      </c>
    </row>
    <row r="3874" spans="1:11" ht="42" customHeight="1">
      <c r="A3874" s="2" t="s">
        <v>9568</v>
      </c>
      <c r="B3874" s="2" t="s">
        <v>9569</v>
      </c>
      <c r="C3874" s="2" t="s">
        <v>80</v>
      </c>
      <c r="D3874" s="2" t="s">
        <v>81</v>
      </c>
      <c r="E3874" s="5">
        <v>-29439</v>
      </c>
      <c r="F3874" s="3" t="s">
        <v>1101</v>
      </c>
      <c r="G3874" s="3" t="s">
        <v>55</v>
      </c>
      <c r="H3874" s="2" t="s">
        <v>65</v>
      </c>
      <c r="I3874" s="2" t="s">
        <v>9570</v>
      </c>
      <c r="J3874" s="3" t="str">
        <f>HYPERLINK("https://www.boe.es/gazeta/dias/1819/05/25/pdfs/GMD-1819-62.pdf#page=7","Abrir facsímil")</f>
        <v>Abrir facsímil</v>
      </c>
      <c r="K3874" s="3" t="s">
        <v>67</v>
      </c>
    </row>
    <row r="3875" spans="1:11" ht="42" customHeight="1">
      <c r="A3875" s="2" t="s">
        <v>9571</v>
      </c>
      <c r="B3875" s="2" t="s">
        <v>9572</v>
      </c>
      <c r="C3875" s="2" t="s">
        <v>17</v>
      </c>
      <c r="D3875" s="2" t="s">
        <v>18</v>
      </c>
      <c r="E3875" s="5">
        <v>-29542</v>
      </c>
      <c r="F3875" s="3" t="s">
        <v>607</v>
      </c>
      <c r="G3875" s="3" t="s">
        <v>94</v>
      </c>
      <c r="H3875" s="2" t="s">
        <v>65</v>
      </c>
      <c r="I3875" s="2" t="s">
        <v>9573</v>
      </c>
      <c r="J3875" s="3" t="str">
        <f>HYPERLINK("https://www.boe.es/gazeta/dias/1819/02/11/pdfs/GMD-1819-18.pdf#page=11","Abrir facsímil")</f>
        <v>Abrir facsímil</v>
      </c>
      <c r="K3875" s="3" t="s">
        <v>67</v>
      </c>
    </row>
    <row r="3876" spans="1:11" ht="42" customHeight="1">
      <c r="A3876" s="2" t="s">
        <v>9574</v>
      </c>
      <c r="B3876" s="2" t="s">
        <v>9575</v>
      </c>
      <c r="C3876" s="2" t="s">
        <v>63</v>
      </c>
      <c r="D3876" s="2" t="s">
        <v>43</v>
      </c>
      <c r="E3876" s="5">
        <v>-29246</v>
      </c>
      <c r="F3876" s="3" t="s">
        <v>494</v>
      </c>
      <c r="G3876" s="3" t="s">
        <v>495</v>
      </c>
      <c r="H3876" s="2" t="s">
        <v>65</v>
      </c>
      <c r="I3876" s="2" t="s">
        <v>9576</v>
      </c>
      <c r="J3876" s="3" t="str">
        <f>HYPERLINK("https://www.boe.es/gazeta/dias/1819/12/04/pdfs/GMD-1819-149.pdf#page=6","Abrir facsímil")</f>
        <v>Abrir facsímil</v>
      </c>
      <c r="K3876" s="3" t="s">
        <v>67</v>
      </c>
    </row>
    <row r="3877" spans="1:11" ht="42" customHeight="1">
      <c r="A3877" s="2" t="s">
        <v>9577</v>
      </c>
      <c r="B3877" s="2" t="s">
        <v>9578</v>
      </c>
      <c r="C3877" s="2" t="s">
        <v>26</v>
      </c>
      <c r="D3877" s="2" t="s">
        <v>18</v>
      </c>
      <c r="E3877" s="5">
        <v>-29521</v>
      </c>
      <c r="F3877" s="3" t="s">
        <v>1002</v>
      </c>
      <c r="G3877" s="3" t="s">
        <v>33</v>
      </c>
      <c r="H3877" s="2" t="s">
        <v>65</v>
      </c>
      <c r="I3877" s="2" t="s">
        <v>9579</v>
      </c>
      <c r="J3877" s="3" t="str">
        <f>HYPERLINK("https://www.boe.es/gazeta/dias/1819/03/04/pdfs/GMD-1819-27.pdf#page=6","Abrir facsímil")</f>
        <v>Abrir facsímil</v>
      </c>
      <c r="K3877" s="3" t="s">
        <v>67</v>
      </c>
    </row>
    <row r="3878" spans="1:11" ht="42" customHeight="1">
      <c r="A3878" s="2" t="s">
        <v>9580</v>
      </c>
      <c r="B3878" s="2" t="s">
        <v>9581</v>
      </c>
      <c r="C3878" s="2" t="s">
        <v>17</v>
      </c>
      <c r="D3878" s="2" t="s">
        <v>18</v>
      </c>
      <c r="E3878" s="5">
        <v>-29542</v>
      </c>
      <c r="F3878" s="3" t="s">
        <v>607</v>
      </c>
      <c r="G3878" s="3" t="s">
        <v>94</v>
      </c>
      <c r="H3878" s="2" t="s">
        <v>65</v>
      </c>
      <c r="I3878" s="2" t="s">
        <v>9582</v>
      </c>
      <c r="J3878" s="3" t="str">
        <f>HYPERLINK("https://www.boe.es/gazeta/dias/1819/02/11/pdfs/GMD-1819-18.pdf#page=11","Abrir facsímil")</f>
        <v>Abrir facsímil</v>
      </c>
      <c r="K3878" s="3" t="s">
        <v>67</v>
      </c>
    </row>
    <row r="3879" spans="1:11" ht="42" customHeight="1">
      <c r="A3879" s="2" t="s">
        <v>9583</v>
      </c>
      <c r="B3879" s="2" t="s">
        <v>9584</v>
      </c>
      <c r="C3879" s="2" t="s">
        <v>59</v>
      </c>
      <c r="D3879" s="2" t="s">
        <v>18</v>
      </c>
      <c r="E3879" s="5">
        <v>-29530</v>
      </c>
      <c r="F3879" s="3" t="s">
        <v>202</v>
      </c>
      <c r="G3879" s="3" t="s">
        <v>1487</v>
      </c>
      <c r="H3879" s="2" t="s">
        <v>65</v>
      </c>
      <c r="I3879" s="2" t="s">
        <v>9585</v>
      </c>
      <c r="J3879" s="3" t="str">
        <f>HYPERLINK("https://www.boe.es/gazeta/dias/1819/02/23/pdfs/GMD-1819-23.pdf#page=11","Abrir facsímil")</f>
        <v>Abrir facsímil</v>
      </c>
      <c r="K3879" s="3" t="s">
        <v>67</v>
      </c>
    </row>
    <row r="3880" spans="1:11" ht="42" customHeight="1">
      <c r="A3880" s="2" t="s">
        <v>9586</v>
      </c>
      <c r="B3880" s="2" t="s">
        <v>9587</v>
      </c>
      <c r="C3880" s="2" t="s">
        <v>26</v>
      </c>
      <c r="D3880" s="2" t="s">
        <v>18</v>
      </c>
      <c r="E3880" s="5">
        <v>-29556</v>
      </c>
      <c r="F3880" s="3" t="s">
        <v>255</v>
      </c>
      <c r="G3880" s="3" t="s">
        <v>33</v>
      </c>
      <c r="H3880" s="2" t="s">
        <v>21</v>
      </c>
      <c r="I3880" s="2" t="s">
        <v>9588</v>
      </c>
      <c r="J3880" s="3" t="str">
        <f>HYPERLINK("https://www.boe.es/gazeta/dias/1819/01/28/pdfs/GMD-1819-12.pdf#page=6","Abrir facsímil")</f>
        <v>Abrir facsímil</v>
      </c>
      <c r="K3880" s="3" t="s">
        <v>23</v>
      </c>
    </row>
    <row r="3881" spans="1:11" ht="42" customHeight="1">
      <c r="A3881" s="2" t="s">
        <v>9589</v>
      </c>
      <c r="B3881" s="2" t="s">
        <v>9590</v>
      </c>
      <c r="C3881" s="2" t="s">
        <v>26</v>
      </c>
      <c r="D3881" s="2" t="s">
        <v>18</v>
      </c>
      <c r="E3881" s="5">
        <v>-29362</v>
      </c>
      <c r="F3881" s="3" t="s">
        <v>803</v>
      </c>
      <c r="G3881" s="3" t="s">
        <v>38</v>
      </c>
      <c r="H3881" s="2" t="s">
        <v>65</v>
      </c>
      <c r="I3881" s="2" t="s">
        <v>9591</v>
      </c>
      <c r="J3881" s="3" t="str">
        <f>HYPERLINK("https://www.boe.es/gazeta/dias/1819/08/10/pdfs/GMD-1819-96.pdf#page=5","Abrir facsímil")</f>
        <v>Abrir facsímil</v>
      </c>
      <c r="K3881" s="3" t="s">
        <v>67</v>
      </c>
    </row>
    <row r="3882" spans="1:11" ht="42" customHeight="1">
      <c r="A3882" s="2" t="s">
        <v>9592</v>
      </c>
      <c r="B3882" s="2" t="s">
        <v>9593</v>
      </c>
      <c r="C3882" s="2" t="s">
        <v>59</v>
      </c>
      <c r="D3882" s="2" t="s">
        <v>18</v>
      </c>
      <c r="E3882" s="5">
        <v>-29495</v>
      </c>
      <c r="F3882" s="3" t="s">
        <v>992</v>
      </c>
      <c r="G3882" s="3" t="s">
        <v>28</v>
      </c>
      <c r="H3882" s="2" t="s">
        <v>65</v>
      </c>
      <c r="I3882" s="2" t="s">
        <v>9594</v>
      </c>
      <c r="J3882" s="3" t="str">
        <f>HYPERLINK("https://www.boe.es/gazeta/dias/1819/03/30/pdfs/GMD-1819-38.pdf#page=8","Abrir facsímil")</f>
        <v>Abrir facsímil</v>
      </c>
      <c r="K3882" s="3" t="s">
        <v>67</v>
      </c>
    </row>
    <row r="3883" spans="1:11" ht="42" customHeight="1">
      <c r="A3883" s="2" t="s">
        <v>9592</v>
      </c>
      <c r="B3883" s="2" t="s">
        <v>9593</v>
      </c>
      <c r="C3883" s="2" t="s">
        <v>26</v>
      </c>
      <c r="D3883" s="2" t="s">
        <v>18</v>
      </c>
      <c r="E3883" s="5">
        <v>-29313</v>
      </c>
      <c r="F3883" s="3" t="s">
        <v>129</v>
      </c>
      <c r="G3883" s="3" t="s">
        <v>38</v>
      </c>
      <c r="H3883" s="2" t="s">
        <v>65</v>
      </c>
      <c r="I3883" s="2" t="s">
        <v>9595</v>
      </c>
      <c r="J3883" s="3" t="str">
        <f>HYPERLINK("https://www.boe.es/gazeta/dias/1819/09/28/pdfs/GMD-1819-119.pdf#page=5","Abrir facsímil")</f>
        <v>Abrir facsímil</v>
      </c>
      <c r="K3883" s="3" t="s">
        <v>67</v>
      </c>
    </row>
    <row r="3884" spans="1:11" ht="42" customHeight="1">
      <c r="A3884" s="2" t="s">
        <v>9596</v>
      </c>
      <c r="B3884" s="2" t="s">
        <v>9597</v>
      </c>
      <c r="C3884" s="2" t="s">
        <v>80</v>
      </c>
      <c r="D3884" s="2" t="s">
        <v>454</v>
      </c>
      <c r="E3884" s="5">
        <v>-29287</v>
      </c>
      <c r="F3884" s="3" t="s">
        <v>455</v>
      </c>
      <c r="G3884" s="3" t="s">
        <v>481</v>
      </c>
      <c r="H3884" s="2" t="s">
        <v>65</v>
      </c>
      <c r="I3884" s="2" t="s">
        <v>9598</v>
      </c>
      <c r="J3884" s="3" t="str">
        <f>HYPERLINK("https://www.boe.es/gazeta/dias/1819/10/24/pdfs/GMD-1819-131E.pdf#page=8","Abrir facsímil")</f>
        <v>Abrir facsímil</v>
      </c>
      <c r="K3884" s="3" t="s">
        <v>67</v>
      </c>
    </row>
    <row r="3885" spans="1:11" ht="42" customHeight="1">
      <c r="A3885" s="2" t="s">
        <v>9599</v>
      </c>
      <c r="B3885" s="2" t="s">
        <v>9600</v>
      </c>
      <c r="C3885" s="2" t="s">
        <v>59</v>
      </c>
      <c r="D3885" s="2" t="s">
        <v>18</v>
      </c>
      <c r="E3885" s="5">
        <v>-29537</v>
      </c>
      <c r="F3885" s="3" t="s">
        <v>593</v>
      </c>
      <c r="G3885" s="3" t="s">
        <v>456</v>
      </c>
      <c r="H3885" s="2" t="s">
        <v>21</v>
      </c>
      <c r="I3885" s="2" t="s">
        <v>9601</v>
      </c>
      <c r="J3885" s="3" t="str">
        <f>HYPERLINK("https://www.boe.es/gazeta/dias/1819/02/16/pdfs/GMD-1819-20.pdf#page=9","Abrir facsímil")</f>
        <v>Abrir facsímil</v>
      </c>
      <c r="K3885" s="3" t="s">
        <v>23</v>
      </c>
    </row>
    <row r="3886" spans="1:11" ht="42" customHeight="1">
      <c r="A3886" s="2" t="s">
        <v>9602</v>
      </c>
      <c r="B3886" s="2" t="s">
        <v>9603</v>
      </c>
      <c r="C3886" s="2" t="s">
        <v>80</v>
      </c>
      <c r="D3886" s="2" t="s">
        <v>81</v>
      </c>
      <c r="E3886" s="5">
        <v>-29255</v>
      </c>
      <c r="F3886" s="3" t="s">
        <v>357</v>
      </c>
      <c r="G3886" s="3" t="s">
        <v>358</v>
      </c>
      <c r="H3886" s="2" t="s">
        <v>65</v>
      </c>
      <c r="I3886" s="2" t="s">
        <v>9604</v>
      </c>
      <c r="J3886" s="3" t="str">
        <f>HYPERLINK("https://www.boe.es/gazeta/dias/1819/11/25/pdfs/GMD-1819-145.pdf#page=6","Abrir facsímil")</f>
        <v>Abrir facsímil</v>
      </c>
      <c r="K3886" s="3" t="s">
        <v>67</v>
      </c>
    </row>
    <row r="3887" spans="1:11" ht="42" customHeight="1">
      <c r="A3887" s="2" t="s">
        <v>9602</v>
      </c>
      <c r="B3887" s="2" t="s">
        <v>9603</v>
      </c>
      <c r="C3887" s="2" t="s">
        <v>80</v>
      </c>
      <c r="D3887" s="2" t="s">
        <v>81</v>
      </c>
      <c r="E3887" s="5">
        <v>-29236</v>
      </c>
      <c r="F3887" s="3" t="s">
        <v>379</v>
      </c>
      <c r="G3887" s="3" t="s">
        <v>28</v>
      </c>
      <c r="H3887" s="2" t="s">
        <v>65</v>
      </c>
      <c r="I3887" s="2" t="s">
        <v>9605</v>
      </c>
      <c r="J3887" s="3" t="str">
        <f>HYPERLINK("https://www.boe.es/gazeta/dias/1819/12/14/pdfs/GMD-1819-153.pdf#page=8","Abrir facsímil")</f>
        <v>Abrir facsímil</v>
      </c>
      <c r="K3887" s="3" t="s">
        <v>67</v>
      </c>
    </row>
    <row r="3888" spans="1:11" ht="42" customHeight="1">
      <c r="A3888" s="2" t="s">
        <v>9606</v>
      </c>
      <c r="B3888" s="2" t="s">
        <v>9607</v>
      </c>
      <c r="C3888" s="2" t="s">
        <v>59</v>
      </c>
      <c r="D3888" s="2" t="s">
        <v>18</v>
      </c>
      <c r="E3888" s="5">
        <v>-29313</v>
      </c>
      <c r="F3888" s="3" t="s">
        <v>129</v>
      </c>
      <c r="G3888" s="3" t="s">
        <v>296</v>
      </c>
      <c r="H3888" s="2" t="s">
        <v>65</v>
      </c>
      <c r="I3888" s="2" t="s">
        <v>9608</v>
      </c>
      <c r="J3888" s="3" t="str">
        <f>HYPERLINK("https://www.boe.es/gazeta/dias/1819/09/28/pdfs/GMD-1819-119.pdf#page=4","Abrir facsímil")</f>
        <v>Abrir facsímil</v>
      </c>
      <c r="K3888" s="3" t="s">
        <v>67</v>
      </c>
    </row>
    <row r="3889" spans="1:11" ht="42" customHeight="1">
      <c r="A3889" s="2" t="s">
        <v>9609</v>
      </c>
      <c r="B3889" s="2" t="s">
        <v>9609</v>
      </c>
      <c r="C3889" s="2" t="s">
        <v>80</v>
      </c>
      <c r="D3889" s="2" t="s">
        <v>81</v>
      </c>
      <c r="E3889" s="5">
        <v>-29582</v>
      </c>
      <c r="F3889" s="3" t="s">
        <v>376</v>
      </c>
      <c r="G3889" s="3" t="s">
        <v>544</v>
      </c>
      <c r="H3889" s="2" t="s">
        <v>65</v>
      </c>
      <c r="I3889" s="2" t="s">
        <v>9610</v>
      </c>
      <c r="J3889" s="3" t="str">
        <f>HYPERLINK("https://www.boe.es/gazeta/dias/1819/01/02/pdfs/GMD-1819-1.pdf#page=6","Abrir facsímil")</f>
        <v>Abrir facsímil</v>
      </c>
      <c r="K3889" s="3" t="s">
        <v>67</v>
      </c>
    </row>
    <row r="3890" spans="1:11" ht="42" customHeight="1">
      <c r="A3890" s="2" t="s">
        <v>9611</v>
      </c>
      <c r="B3890" s="2" t="s">
        <v>9612</v>
      </c>
      <c r="C3890" s="2" t="s">
        <v>80</v>
      </c>
      <c r="D3890" s="2" t="s">
        <v>81</v>
      </c>
      <c r="E3890" s="5">
        <v>-29582</v>
      </c>
      <c r="F3890" s="3" t="s">
        <v>376</v>
      </c>
      <c r="G3890" s="3" t="s">
        <v>544</v>
      </c>
      <c r="H3890" s="2" t="s">
        <v>65</v>
      </c>
      <c r="I3890" s="2" t="s">
        <v>9613</v>
      </c>
      <c r="J3890" s="3" t="str">
        <f>HYPERLINK("https://www.boe.es/gazeta/dias/1819/01/02/pdfs/GMD-1819-1.pdf#page=6","Abrir facsímil")</f>
        <v>Abrir facsímil</v>
      </c>
      <c r="K3890" s="3" t="s">
        <v>67</v>
      </c>
    </row>
    <row r="3891" spans="1:11" ht="42" customHeight="1">
      <c r="A3891" s="2" t="s">
        <v>9614</v>
      </c>
      <c r="B3891" s="2" t="s">
        <v>9615</v>
      </c>
      <c r="C3891" s="2" t="s">
        <v>80</v>
      </c>
      <c r="D3891" s="2" t="s">
        <v>81</v>
      </c>
      <c r="E3891" s="5">
        <v>-29577</v>
      </c>
      <c r="F3891" s="3" t="s">
        <v>1008</v>
      </c>
      <c r="G3891" s="3" t="s">
        <v>28</v>
      </c>
      <c r="H3891" s="2" t="s">
        <v>65</v>
      </c>
      <c r="I3891" s="2" t="s">
        <v>9616</v>
      </c>
      <c r="J3891" s="3" t="str">
        <f>HYPERLINK("https://www.boe.es/gazeta/dias/1819/01/07/pdfs/GMD-1819-3.pdf#page=8","Abrir facsímil")</f>
        <v>Abrir facsímil</v>
      </c>
      <c r="K3891" s="3" t="s">
        <v>67</v>
      </c>
    </row>
    <row r="3892" spans="1:11" ht="42" customHeight="1">
      <c r="A3892" s="2" t="s">
        <v>9617</v>
      </c>
      <c r="B3892" s="2" t="s">
        <v>9618</v>
      </c>
      <c r="C3892" s="2" t="s">
        <v>80</v>
      </c>
      <c r="D3892" s="2" t="s">
        <v>454</v>
      </c>
      <c r="E3892" s="5">
        <v>-29287</v>
      </c>
      <c r="F3892" s="3" t="s">
        <v>455</v>
      </c>
      <c r="G3892" s="3" t="s">
        <v>456</v>
      </c>
      <c r="H3892" s="2" t="s">
        <v>65</v>
      </c>
      <c r="I3892" s="2" t="s">
        <v>9619</v>
      </c>
      <c r="J3892" s="3" t="str">
        <f>HYPERLINK("https://www.boe.es/gazeta/dias/1819/10/24/pdfs/GMD-1819-131E.pdf#page=9","Abrir facsímil")</f>
        <v>Abrir facsímil</v>
      </c>
      <c r="K3892" s="3" t="s">
        <v>67</v>
      </c>
    </row>
    <row r="3893" spans="1:11" ht="42" customHeight="1">
      <c r="A3893" s="2" t="s">
        <v>9620</v>
      </c>
      <c r="B3893" s="2" t="s">
        <v>9621</v>
      </c>
      <c r="C3893" s="2" t="s">
        <v>80</v>
      </c>
      <c r="D3893" s="2" t="s">
        <v>81</v>
      </c>
      <c r="E3893" s="5">
        <v>-29316</v>
      </c>
      <c r="F3893" s="3" t="s">
        <v>166</v>
      </c>
      <c r="G3893" s="3" t="s">
        <v>38</v>
      </c>
      <c r="H3893" s="2" t="s">
        <v>65</v>
      </c>
      <c r="I3893" s="2" t="s">
        <v>9622</v>
      </c>
      <c r="J3893" s="3" t="str">
        <f>HYPERLINK("https://www.boe.es/gazeta/dias/1819/09/25/pdfs/GMD-1819-118.pdf#page=5","Abrir facsímil")</f>
        <v>Abrir facsímil</v>
      </c>
      <c r="K3893" s="3" t="s">
        <v>67</v>
      </c>
    </row>
    <row r="3894" spans="1:11" ht="42" customHeight="1">
      <c r="A3894" s="2" t="s">
        <v>9623</v>
      </c>
      <c r="B3894" s="2" t="s">
        <v>9624</v>
      </c>
      <c r="C3894" s="2" t="s">
        <v>80</v>
      </c>
      <c r="D3894" s="2" t="s">
        <v>81</v>
      </c>
      <c r="E3894" s="5">
        <v>-29353</v>
      </c>
      <c r="F3894" s="3" t="s">
        <v>867</v>
      </c>
      <c r="G3894" s="3" t="s">
        <v>55</v>
      </c>
      <c r="H3894" s="2" t="s">
        <v>65</v>
      </c>
      <c r="I3894" s="2" t="s">
        <v>9625</v>
      </c>
      <c r="J3894" s="3" t="str">
        <f>HYPERLINK("https://www.boe.es/gazeta/dias/1819/08/19/pdfs/GMD-1819-100.pdf#page=7","Abrir facsímil")</f>
        <v>Abrir facsímil</v>
      </c>
      <c r="K3894" s="3" t="s">
        <v>67</v>
      </c>
    </row>
    <row r="3895" spans="1:11" ht="42" customHeight="1">
      <c r="A3895" s="2" t="s">
        <v>9626</v>
      </c>
      <c r="B3895" s="2" t="s">
        <v>9627</v>
      </c>
      <c r="C3895" s="2" t="s">
        <v>63</v>
      </c>
      <c r="D3895" s="2" t="s">
        <v>43</v>
      </c>
      <c r="E3895" s="5">
        <v>-29222</v>
      </c>
      <c r="F3895" s="3" t="s">
        <v>338</v>
      </c>
      <c r="G3895" s="3" t="s">
        <v>339</v>
      </c>
      <c r="H3895" s="2" t="s">
        <v>65</v>
      </c>
      <c r="I3895" s="2" t="s">
        <v>9628</v>
      </c>
      <c r="J3895" s="3" t="str">
        <f>HYPERLINK("https://www.boe.es/gazeta/dias/1819/12/28/pdfs/GMD-1819-159.pdf#page=8","Abrir facsímil")</f>
        <v>Abrir facsímil</v>
      </c>
      <c r="K3895" s="3" t="s">
        <v>67</v>
      </c>
    </row>
    <row r="3896" spans="1:11" ht="42" customHeight="1">
      <c r="A3896" s="2" t="s">
        <v>9629</v>
      </c>
      <c r="B3896" s="2" t="s">
        <v>9629</v>
      </c>
      <c r="C3896" s="2" t="s">
        <v>80</v>
      </c>
      <c r="D3896" s="2" t="s">
        <v>81</v>
      </c>
      <c r="E3896" s="5">
        <v>-29502</v>
      </c>
      <c r="F3896" s="3" t="s">
        <v>86</v>
      </c>
      <c r="G3896" s="3" t="s">
        <v>2658</v>
      </c>
      <c r="H3896" s="2" t="s">
        <v>65</v>
      </c>
      <c r="I3896" s="2" t="s">
        <v>9630</v>
      </c>
      <c r="J3896" s="3" t="str">
        <f>HYPERLINK("https://www.boe.es/gazeta/dias/1819/03/23/pdfs/GMD-1819-35.pdf#page=4","Abrir facsímil")</f>
        <v>Abrir facsímil</v>
      </c>
      <c r="K3896" s="3" t="s">
        <v>67</v>
      </c>
    </row>
    <row r="3897" spans="1:11" ht="42" customHeight="1">
      <c r="A3897" s="2" t="s">
        <v>9631</v>
      </c>
      <c r="B3897" s="2" t="s">
        <v>9631</v>
      </c>
      <c r="C3897" s="2" t="s">
        <v>80</v>
      </c>
      <c r="D3897" s="2" t="s">
        <v>81</v>
      </c>
      <c r="E3897" s="5">
        <v>-29577</v>
      </c>
      <c r="F3897" s="3" t="s">
        <v>1008</v>
      </c>
      <c r="G3897" s="3" t="s">
        <v>38</v>
      </c>
      <c r="H3897" s="2" t="s">
        <v>65</v>
      </c>
      <c r="I3897" s="2" t="s">
        <v>9632</v>
      </c>
      <c r="J3897" s="3" t="str">
        <f>HYPERLINK("https://www.boe.es/gazeta/dias/1819/01/07/pdfs/GMD-1819-3.pdf#page=5","Abrir facsímil")</f>
        <v>Abrir facsímil</v>
      </c>
      <c r="K3897" s="3" t="s">
        <v>67</v>
      </c>
    </row>
    <row r="3898" spans="1:11" ht="42" customHeight="1">
      <c r="A3898" s="2" t="s">
        <v>9633</v>
      </c>
      <c r="B3898" s="2" t="s">
        <v>9633</v>
      </c>
      <c r="C3898" s="2" t="s">
        <v>80</v>
      </c>
      <c r="D3898" s="2" t="s">
        <v>81</v>
      </c>
      <c r="E3898" s="5">
        <v>-29243</v>
      </c>
      <c r="F3898" s="3" t="s">
        <v>2099</v>
      </c>
      <c r="G3898" s="3" t="s">
        <v>2100</v>
      </c>
      <c r="H3898" s="2" t="s">
        <v>65</v>
      </c>
      <c r="I3898" s="2" t="s">
        <v>9634</v>
      </c>
      <c r="J3898" s="3" t="str">
        <f>HYPERLINK("https://www.boe.es/gazeta/dias/1819/12/07/pdfs/GMD-1819-150.pdf#page=6","Abrir facsímil")</f>
        <v>Abrir facsímil</v>
      </c>
      <c r="K3898" s="3" t="s">
        <v>67</v>
      </c>
    </row>
    <row r="3899" spans="1:11" ht="42" customHeight="1">
      <c r="A3899" s="2" t="s">
        <v>9635</v>
      </c>
      <c r="B3899" s="2" t="s">
        <v>9636</v>
      </c>
      <c r="C3899" s="2" t="s">
        <v>59</v>
      </c>
      <c r="D3899" s="2" t="s">
        <v>18</v>
      </c>
      <c r="E3899" s="5">
        <v>-29271</v>
      </c>
      <c r="F3899" s="3" t="s">
        <v>32</v>
      </c>
      <c r="G3899" s="3" t="s">
        <v>33</v>
      </c>
      <c r="H3899" s="2" t="s">
        <v>65</v>
      </c>
      <c r="I3899" s="2" t="s">
        <v>9637</v>
      </c>
      <c r="J3899" s="3" t="str">
        <f>HYPERLINK("https://www.boe.es/gazeta/dias/1819/11/09/pdfs/GMD-1819-138.pdf#page=6","Abrir facsímil")</f>
        <v>Abrir facsímil</v>
      </c>
      <c r="K3899" s="3" t="s">
        <v>67</v>
      </c>
    </row>
    <row r="3900" spans="1:11" ht="42" customHeight="1">
      <c r="A3900" s="2" t="s">
        <v>9638</v>
      </c>
      <c r="B3900" s="2" t="s">
        <v>9639</v>
      </c>
      <c r="C3900" s="2" t="s">
        <v>17</v>
      </c>
      <c r="D3900" s="2" t="s">
        <v>18</v>
      </c>
      <c r="E3900" s="5">
        <v>-29269</v>
      </c>
      <c r="F3900" s="3" t="s">
        <v>565</v>
      </c>
      <c r="G3900" s="3" t="s">
        <v>38</v>
      </c>
      <c r="H3900" s="2" t="s">
        <v>21</v>
      </c>
      <c r="I3900" s="2" t="s">
        <v>9640</v>
      </c>
      <c r="J3900" s="3" t="str">
        <f>HYPERLINK("https://www.boe.es/gazeta/dias/1819/11/11/pdfs/GMD-1819-139.pdf#page=5","Abrir facsímil")</f>
        <v>Abrir facsímil</v>
      </c>
      <c r="K3900" s="3" t="s">
        <v>23</v>
      </c>
    </row>
    <row r="3901" spans="1:11" ht="42" customHeight="1">
      <c r="A3901" s="2" t="s">
        <v>9641</v>
      </c>
      <c r="B3901" s="2" t="s">
        <v>9641</v>
      </c>
      <c r="C3901" s="2" t="s">
        <v>63</v>
      </c>
      <c r="D3901" s="2" t="s">
        <v>43</v>
      </c>
      <c r="E3901" s="5">
        <v>-29271</v>
      </c>
      <c r="F3901" s="3" t="s">
        <v>32</v>
      </c>
      <c r="G3901" s="3" t="s">
        <v>55</v>
      </c>
      <c r="H3901" s="2" t="s">
        <v>65</v>
      </c>
      <c r="I3901" s="2" t="s">
        <v>9642</v>
      </c>
      <c r="J3901" s="3" t="str">
        <f>HYPERLINK("https://www.boe.es/gazeta/dias/1819/11/09/pdfs/GMD-1819-138.pdf#page=7","Abrir facsímil")</f>
        <v>Abrir facsímil</v>
      </c>
      <c r="K3901" s="3" t="s">
        <v>67</v>
      </c>
    </row>
    <row r="3902" spans="1:11" ht="42" customHeight="1">
      <c r="A3902" s="2" t="s">
        <v>9643</v>
      </c>
      <c r="B3902" s="2" t="s">
        <v>9643</v>
      </c>
      <c r="C3902" s="2" t="s">
        <v>136</v>
      </c>
      <c r="D3902" s="2" t="s">
        <v>18</v>
      </c>
      <c r="E3902" s="5">
        <v>-29388</v>
      </c>
      <c r="F3902" s="3" t="s">
        <v>879</v>
      </c>
      <c r="G3902" s="3" t="s">
        <v>28</v>
      </c>
      <c r="H3902" s="2" t="s">
        <v>65</v>
      </c>
      <c r="I3902" s="2" t="s">
        <v>9644</v>
      </c>
      <c r="J3902" s="3" t="str">
        <f>HYPERLINK("https://www.boe.es/gazeta/dias/1819/07/15/pdfs/GMD-1819-85.pdf#page=8","Abrir facsímil")</f>
        <v>Abrir facsímil</v>
      </c>
      <c r="K3902" s="3" t="s">
        <v>67</v>
      </c>
    </row>
    <row r="3903" spans="1:11" ht="42" customHeight="1">
      <c r="A3903" s="2" t="s">
        <v>9643</v>
      </c>
      <c r="B3903" s="2" t="s">
        <v>9643</v>
      </c>
      <c r="C3903" s="2" t="s">
        <v>80</v>
      </c>
      <c r="D3903" s="2" t="s">
        <v>81</v>
      </c>
      <c r="E3903" s="5">
        <v>-29325</v>
      </c>
      <c r="F3903" s="3" t="s">
        <v>174</v>
      </c>
      <c r="G3903" s="3" t="s">
        <v>55</v>
      </c>
      <c r="H3903" s="2" t="s">
        <v>65</v>
      </c>
      <c r="I3903" s="2" t="s">
        <v>9645</v>
      </c>
      <c r="J3903" s="3" t="str">
        <f>HYPERLINK("https://www.boe.es/gazeta/dias/1819/09/16/pdfs/GMD-1819-113.pdf#page=7","Abrir facsímil")</f>
        <v>Abrir facsímil</v>
      </c>
      <c r="K3903" s="3" t="s">
        <v>67</v>
      </c>
    </row>
    <row r="3904" spans="1:11" ht="42" customHeight="1">
      <c r="A3904" s="2" t="s">
        <v>9646</v>
      </c>
      <c r="B3904" s="2" t="s">
        <v>9646</v>
      </c>
      <c r="C3904" s="2" t="s">
        <v>17</v>
      </c>
      <c r="D3904" s="2" t="s">
        <v>18</v>
      </c>
      <c r="E3904" s="5">
        <v>-29495</v>
      </c>
      <c r="F3904" s="3" t="s">
        <v>992</v>
      </c>
      <c r="G3904" s="3" t="s">
        <v>94</v>
      </c>
      <c r="H3904" s="2" t="s">
        <v>65</v>
      </c>
      <c r="I3904" s="2" t="s">
        <v>9647</v>
      </c>
      <c r="J3904" s="3" t="str">
        <f>HYPERLINK("https://www.boe.es/gazeta/dias/1819/03/30/pdfs/GMD-1819-38.pdf#page=11","Abrir facsímil")</f>
        <v>Abrir facsímil</v>
      </c>
      <c r="K3904" s="3" t="s">
        <v>67</v>
      </c>
    </row>
    <row r="3905" spans="1:11" ht="42" customHeight="1">
      <c r="A3905" s="2" t="s">
        <v>9648</v>
      </c>
      <c r="B3905" s="2" t="s">
        <v>9648</v>
      </c>
      <c r="C3905" s="2" t="s">
        <v>59</v>
      </c>
      <c r="D3905" s="2" t="s">
        <v>18</v>
      </c>
      <c r="E3905" s="5">
        <v>-29435</v>
      </c>
      <c r="F3905" s="3" t="s">
        <v>191</v>
      </c>
      <c r="G3905" s="3" t="s">
        <v>55</v>
      </c>
      <c r="H3905" s="2" t="s">
        <v>65</v>
      </c>
      <c r="I3905" s="2" t="s">
        <v>9649</v>
      </c>
      <c r="J3905" s="3" t="str">
        <f>HYPERLINK("https://www.boe.es/gazeta/dias/1819/05/29/pdfs/GMD-1819-64.pdf#page=7","Abrir facsímil")</f>
        <v>Abrir facsímil</v>
      </c>
      <c r="K3905" s="3" t="s">
        <v>67</v>
      </c>
    </row>
    <row r="3906" spans="1:11" ht="42" customHeight="1">
      <c r="A3906" s="2" t="s">
        <v>9648</v>
      </c>
      <c r="B3906" s="2" t="s">
        <v>9648</v>
      </c>
      <c r="C3906" s="2" t="s">
        <v>63</v>
      </c>
      <c r="D3906" s="2" t="s">
        <v>43</v>
      </c>
      <c r="E3906" s="5">
        <v>-29344</v>
      </c>
      <c r="F3906" s="3" t="s">
        <v>1865</v>
      </c>
      <c r="G3906" s="3" t="s">
        <v>55</v>
      </c>
      <c r="H3906" s="2" t="s">
        <v>65</v>
      </c>
      <c r="I3906" s="2" t="s">
        <v>9650</v>
      </c>
      <c r="J3906" s="3" t="str">
        <f>HYPERLINK("https://www.boe.es/gazeta/dias/1819/08/28/pdfs/GMD-1819-104.pdf#page=7","Abrir facsímil")</f>
        <v>Abrir facsímil</v>
      </c>
      <c r="K3906" s="3" t="s">
        <v>67</v>
      </c>
    </row>
    <row r="3907" spans="1:11" ht="42" customHeight="1">
      <c r="A3907" s="2" t="s">
        <v>9648</v>
      </c>
      <c r="B3907" s="2" t="s">
        <v>9648</v>
      </c>
      <c r="C3907" s="2" t="s">
        <v>63</v>
      </c>
      <c r="D3907" s="2" t="s">
        <v>43</v>
      </c>
      <c r="E3907" s="5">
        <v>-29304</v>
      </c>
      <c r="F3907" s="3" t="s">
        <v>519</v>
      </c>
      <c r="G3907" s="3" t="s">
        <v>28</v>
      </c>
      <c r="H3907" s="2" t="s">
        <v>65</v>
      </c>
      <c r="I3907" s="2" t="s">
        <v>9651</v>
      </c>
      <c r="J3907" s="3" t="str">
        <f>HYPERLINK("https://www.boe.es/gazeta/dias/1819/10/07/pdfs/GMD-1819-123.pdf#page=8","Abrir facsímil")</f>
        <v>Abrir facsímil</v>
      </c>
      <c r="K3907" s="3" t="s">
        <v>67</v>
      </c>
    </row>
    <row r="3908" spans="1:11" ht="42" customHeight="1">
      <c r="A3908" s="2" t="s">
        <v>9648</v>
      </c>
      <c r="B3908" s="2" t="s">
        <v>9648</v>
      </c>
      <c r="C3908" s="2" t="s">
        <v>63</v>
      </c>
      <c r="D3908" s="2" t="s">
        <v>43</v>
      </c>
      <c r="E3908" s="5">
        <v>-29255</v>
      </c>
      <c r="F3908" s="3" t="s">
        <v>357</v>
      </c>
      <c r="G3908" s="3" t="s">
        <v>28</v>
      </c>
      <c r="H3908" s="2" t="s">
        <v>65</v>
      </c>
      <c r="I3908" s="2" t="s">
        <v>9652</v>
      </c>
      <c r="J3908" s="3" t="str">
        <f>HYPERLINK("https://www.boe.es/gazeta/dias/1819/11/25/pdfs/GMD-1819-145.pdf#page=8","Abrir facsímil")</f>
        <v>Abrir facsímil</v>
      </c>
      <c r="K3908" s="3" t="s">
        <v>67</v>
      </c>
    </row>
    <row r="3909" spans="1:11" ht="42" customHeight="1">
      <c r="A3909" s="2" t="s">
        <v>9653</v>
      </c>
      <c r="B3909" s="2" t="s">
        <v>9653</v>
      </c>
      <c r="C3909" s="2" t="s">
        <v>63</v>
      </c>
      <c r="D3909" s="2" t="s">
        <v>43</v>
      </c>
      <c r="E3909" s="5">
        <v>-29491</v>
      </c>
      <c r="F3909" s="3" t="s">
        <v>1604</v>
      </c>
      <c r="G3909" s="3" t="s">
        <v>28</v>
      </c>
      <c r="H3909" s="2" t="s">
        <v>65</v>
      </c>
      <c r="I3909" s="2" t="s">
        <v>9654</v>
      </c>
      <c r="J3909" s="3" t="str">
        <f>HYPERLINK("https://www.boe.es/gazeta/dias/1819/04/03/pdfs/GMD-1819-40.pdf#page=8","Abrir facsímil")</f>
        <v>Abrir facsímil</v>
      </c>
      <c r="K3909" s="3" t="s">
        <v>67</v>
      </c>
    </row>
    <row r="3910" spans="1:11" ht="42" customHeight="1">
      <c r="A3910" s="2" t="s">
        <v>9655</v>
      </c>
      <c r="B3910" s="2" t="s">
        <v>9656</v>
      </c>
      <c r="C3910" s="2" t="s">
        <v>136</v>
      </c>
      <c r="D3910" s="2" t="s">
        <v>18</v>
      </c>
      <c r="E3910" s="5">
        <v>-29383</v>
      </c>
      <c r="F3910" s="3" t="s">
        <v>631</v>
      </c>
      <c r="G3910" s="3" t="s">
        <v>28</v>
      </c>
      <c r="H3910" s="2" t="s">
        <v>65</v>
      </c>
      <c r="I3910" s="2" t="s">
        <v>9657</v>
      </c>
      <c r="J3910" s="3" t="str">
        <f>HYPERLINK("https://www.boe.es/gazeta/dias/1819/07/20/pdfs/GMD-1819-87.pdf#page=8","Abrir facsímil")</f>
        <v>Abrir facsímil</v>
      </c>
      <c r="K3910" s="3" t="s">
        <v>67</v>
      </c>
    </row>
    <row r="3911" spans="1:11" ht="42" customHeight="1">
      <c r="A3911" s="2" t="s">
        <v>9658</v>
      </c>
      <c r="B3911" s="2" t="s">
        <v>9659</v>
      </c>
      <c r="C3911" s="2" t="s">
        <v>59</v>
      </c>
      <c r="D3911" s="2" t="s">
        <v>18</v>
      </c>
      <c r="E3911" s="5">
        <v>-29404</v>
      </c>
      <c r="F3911" s="3" t="s">
        <v>1939</v>
      </c>
      <c r="G3911" s="3" t="s">
        <v>102</v>
      </c>
      <c r="H3911" s="2" t="s">
        <v>21</v>
      </c>
      <c r="I3911" s="2" t="s">
        <v>9660</v>
      </c>
      <c r="J3911" s="3" t="str">
        <f>HYPERLINK("https://www.boe.es/gazeta/dias/1819/06/29/pdfs/GMD-1819-78.pdf#page=3","Abrir facsímil")</f>
        <v>Abrir facsímil</v>
      </c>
      <c r="K3911" s="3" t="s">
        <v>23</v>
      </c>
    </row>
    <row r="3912" spans="1:11" ht="42" customHeight="1">
      <c r="A3912" s="2" t="s">
        <v>9661</v>
      </c>
      <c r="B3912" s="2" t="s">
        <v>9661</v>
      </c>
      <c r="C3912" s="2" t="s">
        <v>80</v>
      </c>
      <c r="D3912" s="2" t="s">
        <v>81</v>
      </c>
      <c r="E3912" s="5">
        <v>-29488</v>
      </c>
      <c r="F3912" s="3" t="s">
        <v>27</v>
      </c>
      <c r="G3912" s="3" t="s">
        <v>55</v>
      </c>
      <c r="H3912" s="2" t="s">
        <v>65</v>
      </c>
      <c r="I3912" s="2" t="s">
        <v>9662</v>
      </c>
      <c r="J3912" s="3" t="str">
        <f>HYPERLINK("https://www.boe.es/gazeta/dias/1819/04/06/pdfs/GMD-1819-41.pdf#page=7","Abrir facsímil")</f>
        <v>Abrir facsímil</v>
      </c>
      <c r="K3912" s="3" t="s">
        <v>67</v>
      </c>
    </row>
    <row r="3913" spans="1:11" ht="42" customHeight="1">
      <c r="A3913" s="2" t="s">
        <v>9663</v>
      </c>
      <c r="B3913" s="2" t="s">
        <v>9663</v>
      </c>
      <c r="C3913" s="2" t="s">
        <v>80</v>
      </c>
      <c r="D3913" s="2" t="s">
        <v>81</v>
      </c>
      <c r="E3913" s="5">
        <v>-29372</v>
      </c>
      <c r="F3913" s="3" t="s">
        <v>715</v>
      </c>
      <c r="G3913" s="3" t="s">
        <v>33</v>
      </c>
      <c r="H3913" s="2" t="s">
        <v>65</v>
      </c>
      <c r="I3913" s="2" t="s">
        <v>9664</v>
      </c>
      <c r="J3913" s="3" t="str">
        <f>HYPERLINK("https://www.boe.es/gazeta/dias/1819/07/31/pdfs/GMD-1819-92.pdf#page=6","Abrir facsímil")</f>
        <v>Abrir facsímil</v>
      </c>
      <c r="K3913" s="3" t="s">
        <v>67</v>
      </c>
    </row>
    <row r="3914" spans="1:11" ht="42" customHeight="1">
      <c r="A3914" s="2" t="s">
        <v>9665</v>
      </c>
      <c r="B3914" s="2" t="s">
        <v>9666</v>
      </c>
      <c r="C3914" s="2" t="s">
        <v>59</v>
      </c>
      <c r="D3914" s="2" t="s">
        <v>18</v>
      </c>
      <c r="E3914" s="5">
        <v>-29325</v>
      </c>
      <c r="F3914" s="3" t="s">
        <v>174</v>
      </c>
      <c r="G3914" s="3" t="s">
        <v>33</v>
      </c>
      <c r="H3914" s="2" t="s">
        <v>65</v>
      </c>
      <c r="I3914" s="2" t="s">
        <v>9667</v>
      </c>
      <c r="J3914" s="3" t="str">
        <f>HYPERLINK("https://www.boe.es/gazeta/dias/1819/09/16/pdfs/GMD-1819-113.pdf#page=6","Abrir facsímil")</f>
        <v>Abrir facsímil</v>
      </c>
      <c r="K3914" s="3" t="s">
        <v>67</v>
      </c>
    </row>
    <row r="3915" spans="1:11" ht="42" customHeight="1">
      <c r="A3915" s="2" t="s">
        <v>9668</v>
      </c>
      <c r="B3915" s="2" t="s">
        <v>9669</v>
      </c>
      <c r="C3915" s="2" t="s">
        <v>63</v>
      </c>
      <c r="D3915" s="2" t="s">
        <v>43</v>
      </c>
      <c r="E3915" s="5">
        <v>-29542</v>
      </c>
      <c r="F3915" s="3" t="s">
        <v>607</v>
      </c>
      <c r="G3915" s="3" t="s">
        <v>138</v>
      </c>
      <c r="H3915" s="2" t="s">
        <v>65</v>
      </c>
      <c r="I3915" s="2" t="s">
        <v>9670</v>
      </c>
      <c r="J3915" s="3" t="str">
        <f>HYPERLINK("https://www.boe.es/gazeta/dias/1819/02/11/pdfs/GMD-1819-18.pdf#page=12","Abrir facsímil")</f>
        <v>Abrir facsímil</v>
      </c>
      <c r="K3915" s="3" t="s">
        <v>67</v>
      </c>
    </row>
    <row r="3916" spans="1:11" ht="42" customHeight="1">
      <c r="A3916" s="2" t="s">
        <v>9671</v>
      </c>
      <c r="B3916" s="2" t="s">
        <v>9672</v>
      </c>
      <c r="C3916" s="2" t="s">
        <v>63</v>
      </c>
      <c r="D3916" s="2" t="s">
        <v>43</v>
      </c>
      <c r="E3916" s="5">
        <v>-29404</v>
      </c>
      <c r="F3916" s="3" t="s">
        <v>1939</v>
      </c>
      <c r="G3916" s="3" t="s">
        <v>28</v>
      </c>
      <c r="H3916" s="2" t="s">
        <v>65</v>
      </c>
      <c r="I3916" s="2" t="s">
        <v>9673</v>
      </c>
      <c r="J3916" s="3" t="str">
        <f>HYPERLINK("https://www.boe.es/gazeta/dias/1819/06/29/pdfs/GMD-1819-78.pdf#page=8","Abrir facsímil")</f>
        <v>Abrir facsímil</v>
      </c>
      <c r="K3916" s="3" t="s">
        <v>67</v>
      </c>
    </row>
    <row r="3917" spans="1:11" ht="42" customHeight="1">
      <c r="A3917" s="2" t="s">
        <v>9674</v>
      </c>
      <c r="B3917" s="2" t="s">
        <v>9675</v>
      </c>
      <c r="C3917" s="2" t="s">
        <v>63</v>
      </c>
      <c r="D3917" s="2" t="s">
        <v>43</v>
      </c>
      <c r="E3917" s="5">
        <v>-29535</v>
      </c>
      <c r="F3917" s="3" t="s">
        <v>200</v>
      </c>
      <c r="G3917" s="3" t="s">
        <v>28</v>
      </c>
      <c r="H3917" s="2" t="s">
        <v>65</v>
      </c>
      <c r="I3917" s="2" t="s">
        <v>9676</v>
      </c>
      <c r="J3917" s="3" t="str">
        <f>HYPERLINK("https://www.boe.es/gazeta/dias/1819/02/18/pdfs/GMD-1819-21.pdf#page=8","Abrir facsímil")</f>
        <v>Abrir facsímil</v>
      </c>
      <c r="K3917" s="3" t="s">
        <v>67</v>
      </c>
    </row>
    <row r="3918" spans="1:11" ht="42" customHeight="1">
      <c r="A3918" s="2" t="s">
        <v>9674</v>
      </c>
      <c r="B3918" s="2" t="s">
        <v>9675</v>
      </c>
      <c r="C3918" s="2" t="s">
        <v>63</v>
      </c>
      <c r="D3918" s="2" t="s">
        <v>43</v>
      </c>
      <c r="E3918" s="5">
        <v>-29523</v>
      </c>
      <c r="F3918" s="3" t="s">
        <v>436</v>
      </c>
      <c r="G3918" s="3" t="s">
        <v>28</v>
      </c>
      <c r="H3918" s="2" t="s">
        <v>65</v>
      </c>
      <c r="I3918" s="2" t="s">
        <v>9677</v>
      </c>
      <c r="J3918" s="3" t="str">
        <f>HYPERLINK("https://www.boe.es/gazeta/dias/1819/03/02/pdfs/GMD-1819-26.pdf#page=8","Abrir facsímil")</f>
        <v>Abrir facsímil</v>
      </c>
      <c r="K3918" s="3" t="s">
        <v>67</v>
      </c>
    </row>
    <row r="3919" spans="1:11" ht="42" customHeight="1">
      <c r="A3919" s="2" t="s">
        <v>9678</v>
      </c>
      <c r="B3919" s="2" t="s">
        <v>9679</v>
      </c>
      <c r="C3919" s="2" t="s">
        <v>215</v>
      </c>
      <c r="D3919" s="2" t="s">
        <v>18</v>
      </c>
      <c r="E3919" s="5">
        <v>-29234</v>
      </c>
      <c r="F3919" s="3" t="s">
        <v>343</v>
      </c>
      <c r="G3919" s="3" t="s">
        <v>28</v>
      </c>
      <c r="H3919" s="2" t="s">
        <v>65</v>
      </c>
      <c r="I3919" s="2" t="s">
        <v>9680</v>
      </c>
      <c r="J3919" s="3" t="str">
        <f>HYPERLINK("https://www.boe.es/gazeta/dias/1819/12/16/pdfs/GMD-1819-154.pdf#page=8","Abrir facsímil")</f>
        <v>Abrir facsímil</v>
      </c>
      <c r="K3919" s="3" t="s">
        <v>67</v>
      </c>
    </row>
    <row r="3920" spans="1:11" ht="42" customHeight="1">
      <c r="A3920" s="2" t="s">
        <v>9681</v>
      </c>
      <c r="B3920" s="2" t="s">
        <v>9682</v>
      </c>
      <c r="C3920" s="2" t="s">
        <v>80</v>
      </c>
      <c r="D3920" s="2" t="s">
        <v>81</v>
      </c>
      <c r="E3920" s="5">
        <v>-29575</v>
      </c>
      <c r="F3920" s="3" t="s">
        <v>77</v>
      </c>
      <c r="G3920" s="3" t="s">
        <v>28</v>
      </c>
      <c r="H3920" s="2" t="s">
        <v>65</v>
      </c>
      <c r="I3920" s="2" t="s">
        <v>9683</v>
      </c>
      <c r="J3920" s="3" t="str">
        <f>HYPERLINK("https://www.boe.es/gazeta/dias/1819/01/09/pdfs/GMD-1819-4.pdf#page=8","Abrir facsímil")</f>
        <v>Abrir facsímil</v>
      </c>
      <c r="K3920" s="3" t="s">
        <v>67</v>
      </c>
    </row>
    <row r="3921" spans="1:11" ht="42" customHeight="1">
      <c r="A3921" s="2" t="s">
        <v>9684</v>
      </c>
      <c r="B3921" s="2" t="s">
        <v>9685</v>
      </c>
      <c r="C3921" s="2" t="s">
        <v>80</v>
      </c>
      <c r="D3921" s="2" t="s">
        <v>81</v>
      </c>
      <c r="E3921" s="5">
        <v>-29493</v>
      </c>
      <c r="F3921" s="3" t="s">
        <v>404</v>
      </c>
      <c r="G3921" s="3" t="s">
        <v>28</v>
      </c>
      <c r="H3921" s="2" t="s">
        <v>65</v>
      </c>
      <c r="I3921" s="2" t="s">
        <v>9686</v>
      </c>
      <c r="J3921" s="3" t="str">
        <f>HYPERLINK("https://www.boe.es/gazeta/dias/1819/04/01/pdfs/GMD-1819-39.pdf#page=8","Abrir facsímil")</f>
        <v>Abrir facsímil</v>
      </c>
      <c r="K3921" s="3" t="s">
        <v>67</v>
      </c>
    </row>
    <row r="3922" spans="1:11" ht="42" customHeight="1">
      <c r="A3922" s="2" t="s">
        <v>9681</v>
      </c>
      <c r="B3922" s="2" t="s">
        <v>9682</v>
      </c>
      <c r="C3922" s="2" t="s">
        <v>246</v>
      </c>
      <c r="D3922" s="2" t="s">
        <v>18</v>
      </c>
      <c r="E3922" s="5">
        <v>-29344</v>
      </c>
      <c r="F3922" s="3" t="s">
        <v>1865</v>
      </c>
      <c r="G3922" s="3" t="s">
        <v>28</v>
      </c>
      <c r="H3922" s="2" t="s">
        <v>65</v>
      </c>
      <c r="I3922" s="2" t="s">
        <v>9687</v>
      </c>
      <c r="J3922" s="3" t="str">
        <f>HYPERLINK("https://www.boe.es/gazeta/dias/1819/08/28/pdfs/GMD-1819-104.pdf#page=8","Abrir facsímil")</f>
        <v>Abrir facsímil</v>
      </c>
      <c r="K3922" s="3" t="s">
        <v>67</v>
      </c>
    </row>
    <row r="3923" spans="1:11" ht="42" customHeight="1">
      <c r="A3923" s="2" t="s">
        <v>9688</v>
      </c>
      <c r="B3923" s="2" t="s">
        <v>9688</v>
      </c>
      <c r="C3923" s="2" t="s">
        <v>80</v>
      </c>
      <c r="D3923" s="2" t="s">
        <v>81</v>
      </c>
      <c r="E3923" s="5">
        <v>-29437</v>
      </c>
      <c r="F3923" s="3" t="s">
        <v>1147</v>
      </c>
      <c r="G3923" s="3" t="s">
        <v>38</v>
      </c>
      <c r="H3923" s="2" t="s">
        <v>65</v>
      </c>
      <c r="I3923" s="2" t="s">
        <v>9689</v>
      </c>
      <c r="J3923" s="3" t="str">
        <f>HYPERLINK("https://www.boe.es/gazeta/dias/1819/05/27/pdfs/GMD-1819-63.pdf#page=5","Abrir facsímil")</f>
        <v>Abrir facsímil</v>
      </c>
      <c r="K3923" s="3" t="s">
        <v>67</v>
      </c>
    </row>
    <row r="3924" spans="1:11" ht="42" customHeight="1">
      <c r="A3924" s="2" t="s">
        <v>9690</v>
      </c>
      <c r="B3924" s="2" t="s">
        <v>9691</v>
      </c>
      <c r="C3924" s="2" t="s">
        <v>80</v>
      </c>
      <c r="D3924" s="2" t="s">
        <v>81</v>
      </c>
      <c r="E3924" s="5">
        <v>-29481</v>
      </c>
      <c r="F3924" s="3" t="s">
        <v>1504</v>
      </c>
      <c r="G3924" s="3" t="s">
        <v>38</v>
      </c>
      <c r="H3924" s="2" t="s">
        <v>65</v>
      </c>
      <c r="I3924" s="2" t="s">
        <v>9692</v>
      </c>
      <c r="J3924" s="3" t="str">
        <f>HYPERLINK("https://www.boe.es/gazeta/dias/1819/04/13/pdfs/GMD-1819-44.pdf#page=5","Abrir facsímil")</f>
        <v>Abrir facsímil</v>
      </c>
      <c r="K3924" s="3" t="s">
        <v>67</v>
      </c>
    </row>
    <row r="3925" spans="1:11" ht="42" customHeight="1">
      <c r="A3925" s="2" t="s">
        <v>9693</v>
      </c>
      <c r="B3925" s="2" t="s">
        <v>9694</v>
      </c>
      <c r="C3925" s="2" t="s">
        <v>80</v>
      </c>
      <c r="D3925" s="2" t="s">
        <v>81</v>
      </c>
      <c r="E3925" s="5">
        <v>-29241</v>
      </c>
      <c r="F3925" s="3" t="s">
        <v>1382</v>
      </c>
      <c r="G3925" s="3" t="s">
        <v>55</v>
      </c>
      <c r="H3925" s="2" t="s">
        <v>21</v>
      </c>
      <c r="I3925" s="2" t="s">
        <v>9695</v>
      </c>
      <c r="J3925" s="3" t="str">
        <f>HYPERLINK("https://www.boe.es/gazeta/dias/1819/12/09/pdfs/GMD-1819-151.pdf#page=7","Abrir facsímil")</f>
        <v>Abrir facsímil</v>
      </c>
      <c r="K3925" s="3" t="s">
        <v>23</v>
      </c>
    </row>
    <row r="3926" spans="1:11" ht="42" customHeight="1">
      <c r="A3926" s="2" t="s">
        <v>9696</v>
      </c>
      <c r="B3926" s="2" t="s">
        <v>9697</v>
      </c>
      <c r="C3926" s="2" t="s">
        <v>17</v>
      </c>
      <c r="D3926" s="2" t="s">
        <v>18</v>
      </c>
      <c r="E3926" s="5">
        <v>-29332</v>
      </c>
      <c r="F3926" s="3" t="s">
        <v>499</v>
      </c>
      <c r="G3926" s="3" t="s">
        <v>38</v>
      </c>
      <c r="H3926" s="2" t="s">
        <v>65</v>
      </c>
      <c r="I3926" s="2" t="s">
        <v>9698</v>
      </c>
      <c r="J3926" s="3" t="str">
        <f>HYPERLINK("https://www.boe.es/gazeta/dias/1819/09/09/pdfs/GMD-1819-110.pdf#page=5","Abrir facsímil")</f>
        <v>Abrir facsímil</v>
      </c>
      <c r="K3926" s="3" t="s">
        <v>67</v>
      </c>
    </row>
    <row r="3927" spans="1:11" ht="42" customHeight="1">
      <c r="A3927" s="2" t="s">
        <v>9699</v>
      </c>
      <c r="B3927" s="2" t="s">
        <v>9700</v>
      </c>
      <c r="C3927" s="2" t="s">
        <v>80</v>
      </c>
      <c r="D3927" s="2" t="s">
        <v>454</v>
      </c>
      <c r="E3927" s="5">
        <v>-29324</v>
      </c>
      <c r="F3927" s="3" t="s">
        <v>914</v>
      </c>
      <c r="G3927" s="3" t="s">
        <v>102</v>
      </c>
      <c r="H3927" s="2" t="s">
        <v>65</v>
      </c>
      <c r="I3927" s="2" t="s">
        <v>9701</v>
      </c>
      <c r="J3927" s="3" t="str">
        <f>HYPERLINK("https://www.boe.es/gazeta/dias/1819/09/17/pdfs/GMD-1819-114E.pdf#page=3","Abrir facsímil")</f>
        <v>Abrir facsímil</v>
      </c>
      <c r="K3927" s="3" t="s">
        <v>67</v>
      </c>
    </row>
    <row r="3928" spans="1:11" ht="42" customHeight="1">
      <c r="A3928" s="2" t="s">
        <v>9702</v>
      </c>
      <c r="B3928" s="2" t="s">
        <v>9703</v>
      </c>
      <c r="C3928" s="2" t="s">
        <v>59</v>
      </c>
      <c r="D3928" s="2" t="s">
        <v>18</v>
      </c>
      <c r="E3928" s="5">
        <v>-29264</v>
      </c>
      <c r="F3928" s="3" t="s">
        <v>37</v>
      </c>
      <c r="G3928" s="3" t="s">
        <v>1794</v>
      </c>
      <c r="H3928" s="2" t="s">
        <v>65</v>
      </c>
      <c r="I3928" s="2" t="s">
        <v>9704</v>
      </c>
      <c r="J3928" s="3" t="str">
        <f>HYPERLINK("https://www.boe.es/gazeta/dias/1819/11/16/pdfs/GMD-1819-141.pdf#page=11","Abrir facsímil")</f>
        <v>Abrir facsímil</v>
      </c>
      <c r="K3928" s="3" t="s">
        <v>67</v>
      </c>
    </row>
    <row r="3929" spans="1:11" ht="42" customHeight="1">
      <c r="A3929" s="2" t="s">
        <v>9705</v>
      </c>
      <c r="B3929" s="2" t="s">
        <v>9706</v>
      </c>
      <c r="C3929" s="2" t="s">
        <v>26</v>
      </c>
      <c r="D3929" s="2" t="s">
        <v>18</v>
      </c>
      <c r="E3929" s="5">
        <v>-29537</v>
      </c>
      <c r="F3929" s="3" t="s">
        <v>593</v>
      </c>
      <c r="G3929" s="3" t="s">
        <v>28</v>
      </c>
      <c r="H3929" s="2" t="s">
        <v>65</v>
      </c>
      <c r="I3929" s="2" t="s">
        <v>9707</v>
      </c>
      <c r="J3929" s="3" t="str">
        <f>HYPERLINK("https://www.boe.es/gazeta/dias/1819/02/16/pdfs/GMD-1819-20.pdf#page=8","Abrir facsímil")</f>
        <v>Abrir facsímil</v>
      </c>
      <c r="K3929" s="3" t="s">
        <v>67</v>
      </c>
    </row>
    <row r="3930" spans="1:11" ht="42" customHeight="1">
      <c r="A3930" s="2" t="s">
        <v>9708</v>
      </c>
      <c r="B3930" s="2" t="s">
        <v>9709</v>
      </c>
      <c r="C3930" s="2" t="s">
        <v>59</v>
      </c>
      <c r="D3930" s="2" t="s">
        <v>18</v>
      </c>
      <c r="E3930" s="5">
        <v>-29276</v>
      </c>
      <c r="F3930" s="3" t="s">
        <v>54</v>
      </c>
      <c r="G3930" s="3" t="s">
        <v>55</v>
      </c>
      <c r="H3930" s="2" t="s">
        <v>65</v>
      </c>
      <c r="I3930" s="2" t="s">
        <v>9710</v>
      </c>
      <c r="J3930" s="3" t="str">
        <f>HYPERLINK("https://www.boe.es/gazeta/dias/1819/11/04/pdfs/GMD-1819-136.pdf#page=7","Abrir facsímil")</f>
        <v>Abrir facsímil</v>
      </c>
      <c r="K3930" s="3" t="s">
        <v>67</v>
      </c>
    </row>
    <row r="3931" spans="1:11" ht="42" customHeight="1">
      <c r="A3931" s="2" t="s">
        <v>9711</v>
      </c>
      <c r="B3931" s="2" t="s">
        <v>9712</v>
      </c>
      <c r="C3931" s="2" t="s">
        <v>80</v>
      </c>
      <c r="D3931" s="2" t="s">
        <v>81</v>
      </c>
      <c r="E3931" s="5">
        <v>-29556</v>
      </c>
      <c r="F3931" s="3" t="s">
        <v>255</v>
      </c>
      <c r="G3931" s="3" t="s">
        <v>28</v>
      </c>
      <c r="H3931" s="2" t="s">
        <v>65</v>
      </c>
      <c r="I3931" s="2" t="s">
        <v>9713</v>
      </c>
      <c r="J3931" s="3" t="str">
        <f>HYPERLINK("https://www.boe.es/gazeta/dias/1819/01/28/pdfs/GMD-1819-12.pdf#page=8","Abrir facsímil")</f>
        <v>Abrir facsímil</v>
      </c>
      <c r="K3931" s="3" t="s">
        <v>67</v>
      </c>
    </row>
    <row r="3932" spans="1:11" ht="42" customHeight="1">
      <c r="A3932" s="2" t="s">
        <v>9714</v>
      </c>
      <c r="B3932" s="2" t="s">
        <v>9715</v>
      </c>
      <c r="C3932" s="2" t="s">
        <v>80</v>
      </c>
      <c r="D3932" s="2" t="s">
        <v>81</v>
      </c>
      <c r="E3932" s="5">
        <v>-29267</v>
      </c>
      <c r="F3932" s="3" t="s">
        <v>370</v>
      </c>
      <c r="G3932" s="3" t="s">
        <v>55</v>
      </c>
      <c r="H3932" s="2" t="s">
        <v>65</v>
      </c>
      <c r="I3932" s="2" t="s">
        <v>9716</v>
      </c>
      <c r="J3932" s="3" t="str">
        <f>HYPERLINK("https://www.boe.es/gazeta/dias/1819/11/13/pdfs/GMD-1819-140.pdf#page=7","Abrir facsímil")</f>
        <v>Abrir facsímil</v>
      </c>
      <c r="K3932" s="3" t="s">
        <v>67</v>
      </c>
    </row>
    <row r="3933" spans="1:11" ht="42" customHeight="1">
      <c r="A3933" s="2" t="s">
        <v>9717</v>
      </c>
      <c r="B3933" s="2" t="s">
        <v>9718</v>
      </c>
      <c r="C3933" s="2" t="s">
        <v>63</v>
      </c>
      <c r="D3933" s="2" t="s">
        <v>43</v>
      </c>
      <c r="E3933" s="5">
        <v>-29281</v>
      </c>
      <c r="F3933" s="3" t="s">
        <v>19</v>
      </c>
      <c r="G3933" s="3" t="s">
        <v>138</v>
      </c>
      <c r="H3933" s="2" t="s">
        <v>65</v>
      </c>
      <c r="I3933" s="2" t="s">
        <v>9719</v>
      </c>
      <c r="J3933" s="3" t="str">
        <f>HYPERLINK("https://www.boe.es/gazeta/dias/1819/10/30/pdfs/GMD-1819-134.pdf#page=12","Abrir facsímil")</f>
        <v>Abrir facsímil</v>
      </c>
      <c r="K3933" s="3" t="s">
        <v>67</v>
      </c>
    </row>
    <row r="3934" spans="1:11" ht="42" customHeight="1">
      <c r="A3934" s="2" t="s">
        <v>9720</v>
      </c>
      <c r="B3934" s="2" t="s">
        <v>9721</v>
      </c>
      <c r="C3934" s="2" t="s">
        <v>63</v>
      </c>
      <c r="D3934" s="2" t="s">
        <v>43</v>
      </c>
      <c r="E3934" s="5">
        <v>-29486</v>
      </c>
      <c r="F3934" s="3" t="s">
        <v>330</v>
      </c>
      <c r="G3934" s="3" t="s">
        <v>28</v>
      </c>
      <c r="H3934" s="2" t="s">
        <v>65</v>
      </c>
      <c r="I3934" s="2" t="s">
        <v>9722</v>
      </c>
      <c r="J3934" s="3" t="str">
        <f>HYPERLINK("https://www.boe.es/gazeta/dias/1819/04/08/pdfs/GMD-1819-42.pdf#page=8","Abrir facsímil")</f>
        <v>Abrir facsímil</v>
      </c>
      <c r="K3934" s="3" t="s">
        <v>67</v>
      </c>
    </row>
    <row r="3935" spans="1:11" ht="42" customHeight="1">
      <c r="A3935" s="2" t="s">
        <v>9720</v>
      </c>
      <c r="B3935" s="2" t="s">
        <v>9721</v>
      </c>
      <c r="C3935" s="2" t="s">
        <v>215</v>
      </c>
      <c r="D3935" s="2" t="s">
        <v>18</v>
      </c>
      <c r="E3935" s="5">
        <v>-29278</v>
      </c>
      <c r="F3935" s="3" t="s">
        <v>1950</v>
      </c>
      <c r="G3935" s="3" t="s">
        <v>55</v>
      </c>
      <c r="H3935" s="2" t="s">
        <v>65</v>
      </c>
      <c r="I3935" s="2" t="s">
        <v>9723</v>
      </c>
      <c r="J3935" s="3" t="str">
        <f>HYPERLINK("https://www.boe.es/gazeta/dias/1819/11/02/pdfs/GMD-1819-135.pdf#page=7","Abrir facsímil")</f>
        <v>Abrir facsímil</v>
      </c>
      <c r="K3935" s="3" t="s">
        <v>67</v>
      </c>
    </row>
    <row r="3936" spans="1:11" ht="42" customHeight="1">
      <c r="A3936" s="2" t="s">
        <v>9724</v>
      </c>
      <c r="B3936" s="2" t="s">
        <v>9725</v>
      </c>
      <c r="C3936" s="2" t="s">
        <v>26</v>
      </c>
      <c r="D3936" s="2" t="s">
        <v>18</v>
      </c>
      <c r="E3936" s="5">
        <v>-29234</v>
      </c>
      <c r="F3936" s="3" t="s">
        <v>343</v>
      </c>
      <c r="G3936" s="3" t="s">
        <v>28</v>
      </c>
      <c r="H3936" s="2" t="s">
        <v>65</v>
      </c>
      <c r="I3936" s="2" t="s">
        <v>9726</v>
      </c>
      <c r="J3936" s="3" t="str">
        <f>HYPERLINK("https://www.boe.es/gazeta/dias/1819/12/16/pdfs/GMD-1819-154.pdf#page=8","Abrir facsímil")</f>
        <v>Abrir facsímil</v>
      </c>
      <c r="K3936" s="3" t="s">
        <v>67</v>
      </c>
    </row>
    <row r="3937" spans="1:11" ht="42" customHeight="1">
      <c r="A3937" s="2" t="s">
        <v>9727</v>
      </c>
      <c r="B3937" s="2" t="s">
        <v>9728</v>
      </c>
      <c r="C3937" s="2" t="s">
        <v>59</v>
      </c>
      <c r="D3937" s="2" t="s">
        <v>18</v>
      </c>
      <c r="E3937" s="5">
        <v>-29292</v>
      </c>
      <c r="F3937" s="3" t="s">
        <v>875</v>
      </c>
      <c r="G3937" s="3" t="s">
        <v>28</v>
      </c>
      <c r="H3937" s="2" t="s">
        <v>65</v>
      </c>
      <c r="I3937" s="2" t="s">
        <v>9729</v>
      </c>
      <c r="J3937" s="3" t="str">
        <f>HYPERLINK("https://www.boe.es/gazeta/dias/1819/10/19/pdfs/GMD-1819-128.pdf#page=8","Abrir facsímil")</f>
        <v>Abrir facsímil</v>
      </c>
      <c r="K3937" s="3" t="s">
        <v>67</v>
      </c>
    </row>
    <row r="3938" spans="1:11" ht="42" customHeight="1">
      <c r="A3938" s="2" t="s">
        <v>9730</v>
      </c>
      <c r="B3938" s="2" t="s">
        <v>9731</v>
      </c>
      <c r="C3938" s="2" t="s">
        <v>136</v>
      </c>
      <c r="D3938" s="2" t="s">
        <v>18</v>
      </c>
      <c r="E3938" s="5">
        <v>-29449</v>
      </c>
      <c r="F3938" s="3" t="s">
        <v>771</v>
      </c>
      <c r="G3938" s="3" t="s">
        <v>28</v>
      </c>
      <c r="H3938" s="2" t="s">
        <v>65</v>
      </c>
      <c r="I3938" s="2" t="s">
        <v>9732</v>
      </c>
      <c r="J3938" s="3" t="str">
        <f>HYPERLINK("https://www.boe.es/gazeta/dias/1819/05/15/pdfs/GMD-1819-58.pdf#page=8","Abrir facsímil")</f>
        <v>Abrir facsímil</v>
      </c>
      <c r="K3938" s="3" t="s">
        <v>67</v>
      </c>
    </row>
    <row r="3939" spans="1:11" ht="42" customHeight="1">
      <c r="A3939" s="2" t="s">
        <v>9733</v>
      </c>
      <c r="B3939" s="2" t="s">
        <v>9734</v>
      </c>
      <c r="C3939" s="2" t="s">
        <v>80</v>
      </c>
      <c r="D3939" s="2" t="s">
        <v>81</v>
      </c>
      <c r="E3939" s="5">
        <v>-29388</v>
      </c>
      <c r="F3939" s="3" t="s">
        <v>879</v>
      </c>
      <c r="G3939" s="3" t="s">
        <v>2554</v>
      </c>
      <c r="H3939" s="2" t="s">
        <v>65</v>
      </c>
      <c r="I3939" s="2" t="s">
        <v>9735</v>
      </c>
      <c r="J3939" s="3" t="str">
        <f>HYPERLINK("https://www.boe.es/gazeta/dias/1819/07/15/pdfs/GMD-1819-85.pdf#page=6","Abrir facsímil")</f>
        <v>Abrir facsímil</v>
      </c>
      <c r="K3939" s="3" t="s">
        <v>67</v>
      </c>
    </row>
    <row r="3940" spans="1:11" ht="42" customHeight="1">
      <c r="A3940" s="2" t="s">
        <v>9736</v>
      </c>
      <c r="B3940" s="2" t="s">
        <v>9737</v>
      </c>
      <c r="C3940" s="2" t="s">
        <v>80</v>
      </c>
      <c r="D3940" s="2" t="s">
        <v>81</v>
      </c>
      <c r="E3940" s="5">
        <v>-29222</v>
      </c>
      <c r="F3940" s="3" t="s">
        <v>338</v>
      </c>
      <c r="G3940" s="3" t="s">
        <v>3065</v>
      </c>
      <c r="H3940" s="2" t="s">
        <v>65</v>
      </c>
      <c r="I3940" s="2" t="s">
        <v>9738</v>
      </c>
      <c r="J3940" s="3" t="str">
        <f>HYPERLINK("https://www.boe.es/gazeta/dias/1819/12/28/pdfs/GMD-1819-159.pdf#page=3","Abrir facsímil")</f>
        <v>Abrir facsímil</v>
      </c>
      <c r="K3940" s="3" t="s">
        <v>67</v>
      </c>
    </row>
    <row r="3941" spans="1:11" ht="42" customHeight="1">
      <c r="A3941" s="2" t="s">
        <v>9739</v>
      </c>
      <c r="B3941" s="2" t="s">
        <v>9740</v>
      </c>
      <c r="C3941" s="2" t="s">
        <v>59</v>
      </c>
      <c r="D3941" s="2" t="s">
        <v>18</v>
      </c>
      <c r="E3941" s="5">
        <v>-29355</v>
      </c>
      <c r="F3941" s="3" t="s">
        <v>347</v>
      </c>
      <c r="G3941" s="3" t="s">
        <v>348</v>
      </c>
      <c r="H3941" s="2" t="s">
        <v>65</v>
      </c>
      <c r="I3941" s="2" t="s">
        <v>9741</v>
      </c>
      <c r="J3941" s="3" t="str">
        <f>HYPERLINK("https://www.boe.es/gazeta/dias/1819/08/17/pdfs/GMD-1819-99.pdf#page=6","Abrir facsímil")</f>
        <v>Abrir facsímil</v>
      </c>
      <c r="K3941" s="3" t="s">
        <v>67</v>
      </c>
    </row>
    <row r="3942" spans="1:11" ht="42" customHeight="1">
      <c r="A3942" s="2" t="s">
        <v>9742</v>
      </c>
      <c r="B3942" s="2" t="s">
        <v>9743</v>
      </c>
      <c r="C3942" s="2" t="s">
        <v>80</v>
      </c>
      <c r="D3942" s="2" t="s">
        <v>81</v>
      </c>
      <c r="E3942" s="5">
        <v>-29547</v>
      </c>
      <c r="F3942" s="3" t="s">
        <v>238</v>
      </c>
      <c r="G3942" s="3" t="s">
        <v>33</v>
      </c>
      <c r="H3942" s="2" t="s">
        <v>65</v>
      </c>
      <c r="I3942" s="2" t="s">
        <v>9744</v>
      </c>
      <c r="J3942" s="3" t="str">
        <f>HYPERLINK("https://www.boe.es/gazeta/dias/1819/02/06/pdfs/GMD-1819-16.pdf#page=6","Abrir facsímil")</f>
        <v>Abrir facsímil</v>
      </c>
      <c r="K3942" s="3" t="s">
        <v>67</v>
      </c>
    </row>
    <row r="3943" spans="1:11" ht="42" customHeight="1">
      <c r="A3943" s="2" t="s">
        <v>9745</v>
      </c>
      <c r="B3943" s="2" t="s">
        <v>9746</v>
      </c>
      <c r="C3943" s="2" t="s">
        <v>246</v>
      </c>
      <c r="D3943" s="2" t="s">
        <v>18</v>
      </c>
      <c r="E3943" s="5">
        <v>-29488</v>
      </c>
      <c r="F3943" s="3" t="s">
        <v>27</v>
      </c>
      <c r="G3943" s="3" t="s">
        <v>55</v>
      </c>
      <c r="H3943" s="2" t="s">
        <v>65</v>
      </c>
      <c r="I3943" s="2" t="s">
        <v>9747</v>
      </c>
      <c r="J3943" s="3" t="str">
        <f>HYPERLINK("https://www.boe.es/gazeta/dias/1819/04/06/pdfs/GMD-1819-41.pdf#page=7","Abrir facsímil")</f>
        <v>Abrir facsímil</v>
      </c>
      <c r="K3943" s="3" t="s">
        <v>67</v>
      </c>
    </row>
    <row r="3944" spans="1:11" ht="42" customHeight="1">
      <c r="A3944" s="2" t="s">
        <v>9748</v>
      </c>
      <c r="B3944" s="2" t="s">
        <v>9749</v>
      </c>
      <c r="C3944" s="2" t="s">
        <v>63</v>
      </c>
      <c r="D3944" s="2" t="s">
        <v>454</v>
      </c>
      <c r="E3944" s="5">
        <v>-29287</v>
      </c>
      <c r="F3944" s="3" t="s">
        <v>455</v>
      </c>
      <c r="G3944" s="3" t="s">
        <v>481</v>
      </c>
      <c r="H3944" s="2" t="s">
        <v>65</v>
      </c>
      <c r="I3944" s="2" t="s">
        <v>9750</v>
      </c>
      <c r="J3944" s="3" t="str">
        <f>HYPERLINK("https://www.boe.es/gazeta/dias/1819/10/24/pdfs/GMD-1819-131E.pdf#page=8","Abrir facsímil")</f>
        <v>Abrir facsímil</v>
      </c>
      <c r="K3944" s="3" t="s">
        <v>67</v>
      </c>
    </row>
    <row r="3945" spans="1:11" ht="42" customHeight="1">
      <c r="A3945" s="2" t="s">
        <v>9751</v>
      </c>
      <c r="B3945" s="2" t="s">
        <v>9752</v>
      </c>
      <c r="C3945" s="2" t="s">
        <v>63</v>
      </c>
      <c r="D3945" s="2" t="s">
        <v>43</v>
      </c>
      <c r="E3945" s="5">
        <v>-29430</v>
      </c>
      <c r="F3945" s="3" t="s">
        <v>178</v>
      </c>
      <c r="G3945" s="3" t="s">
        <v>55</v>
      </c>
      <c r="H3945" s="2" t="s">
        <v>21</v>
      </c>
      <c r="I3945" s="2" t="s">
        <v>9753</v>
      </c>
      <c r="J3945" s="3" t="str">
        <f>HYPERLINK("https://www.boe.es/gazeta/dias/1819/06/03/pdfs/GMD-1819-66.pdf#page=7","Abrir facsímil")</f>
        <v>Abrir facsímil</v>
      </c>
      <c r="K3945" s="3" t="s">
        <v>23</v>
      </c>
    </row>
    <row r="3946" spans="1:11" ht="42" customHeight="1">
      <c r="A3946" s="2" t="s">
        <v>9754</v>
      </c>
      <c r="B3946" s="2" t="s">
        <v>9755</v>
      </c>
      <c r="C3946" s="2" t="s">
        <v>63</v>
      </c>
      <c r="D3946" s="2" t="s">
        <v>43</v>
      </c>
      <c r="E3946" s="5">
        <v>-29430</v>
      </c>
      <c r="F3946" s="3" t="s">
        <v>178</v>
      </c>
      <c r="G3946" s="3" t="s">
        <v>55</v>
      </c>
      <c r="H3946" s="2" t="s">
        <v>21</v>
      </c>
      <c r="I3946" s="2" t="s">
        <v>9756</v>
      </c>
      <c r="J3946" s="3" t="str">
        <f>HYPERLINK("https://www.boe.es/gazeta/dias/1819/06/03/pdfs/GMD-1819-66.pdf#page=7","Abrir facsímil")</f>
        <v>Abrir facsímil</v>
      </c>
      <c r="K3946" s="3" t="s">
        <v>23</v>
      </c>
    </row>
    <row r="3947" spans="1:11" ht="42" customHeight="1">
      <c r="A3947" s="2" t="s">
        <v>9757</v>
      </c>
      <c r="B3947" s="2" t="s">
        <v>9758</v>
      </c>
      <c r="C3947" s="2" t="s">
        <v>59</v>
      </c>
      <c r="D3947" s="2" t="s">
        <v>18</v>
      </c>
      <c r="E3947" s="5">
        <v>-29276</v>
      </c>
      <c r="F3947" s="3" t="s">
        <v>54</v>
      </c>
      <c r="G3947" s="3" t="s">
        <v>55</v>
      </c>
      <c r="H3947" s="2" t="s">
        <v>65</v>
      </c>
      <c r="I3947" s="2" t="s">
        <v>9759</v>
      </c>
      <c r="J3947" s="3" t="str">
        <f>HYPERLINK("https://www.boe.es/gazeta/dias/1819/11/04/pdfs/GMD-1819-136.pdf#page=7","Abrir facsímil")</f>
        <v>Abrir facsímil</v>
      </c>
      <c r="K3947" s="3" t="s">
        <v>67</v>
      </c>
    </row>
    <row r="3948" spans="1:11" ht="42" customHeight="1">
      <c r="A3948" s="2" t="s">
        <v>9760</v>
      </c>
      <c r="B3948" s="2" t="s">
        <v>9761</v>
      </c>
      <c r="C3948" s="2" t="s">
        <v>80</v>
      </c>
      <c r="D3948" s="2" t="s">
        <v>81</v>
      </c>
      <c r="E3948" s="5">
        <v>-29572</v>
      </c>
      <c r="F3948" s="3" t="s">
        <v>589</v>
      </c>
      <c r="G3948" s="3" t="s">
        <v>33</v>
      </c>
      <c r="H3948" s="2" t="s">
        <v>65</v>
      </c>
      <c r="I3948" s="2" t="s">
        <v>9762</v>
      </c>
      <c r="J3948" s="3" t="str">
        <f>HYPERLINK("https://www.boe.es/gazeta/dias/1819/01/12/pdfs/GMD-1819-5.pdf#page=6","Abrir facsímil")</f>
        <v>Abrir facsímil</v>
      </c>
      <c r="K3948" s="3" t="s">
        <v>67</v>
      </c>
    </row>
    <row r="3949" spans="1:11" ht="42" customHeight="1">
      <c r="A3949" s="2" t="s">
        <v>9763</v>
      </c>
      <c r="B3949" s="2" t="s">
        <v>9764</v>
      </c>
      <c r="C3949" s="2" t="s">
        <v>215</v>
      </c>
      <c r="D3949" s="2" t="s">
        <v>18</v>
      </c>
      <c r="E3949" s="5">
        <v>-29521</v>
      </c>
      <c r="F3949" s="3" t="s">
        <v>1002</v>
      </c>
      <c r="G3949" s="3" t="s">
        <v>55</v>
      </c>
      <c r="H3949" s="2" t="s">
        <v>21</v>
      </c>
      <c r="I3949" s="2" t="s">
        <v>9765</v>
      </c>
      <c r="J3949" s="3" t="str">
        <f>HYPERLINK("https://www.boe.es/gazeta/dias/1819/03/04/pdfs/GMD-1819-27.pdf#page=7","Abrir facsímil")</f>
        <v>Abrir facsímil</v>
      </c>
      <c r="K3949" s="3" t="s">
        <v>23</v>
      </c>
    </row>
    <row r="3950" spans="1:11" ht="42" customHeight="1">
      <c r="A3950" s="2" t="s">
        <v>9766</v>
      </c>
      <c r="B3950" s="2" t="s">
        <v>9767</v>
      </c>
      <c r="C3950" s="2" t="s">
        <v>80</v>
      </c>
      <c r="D3950" s="2" t="s">
        <v>81</v>
      </c>
      <c r="E3950" s="5">
        <v>-29239</v>
      </c>
      <c r="F3950" s="3" t="s">
        <v>724</v>
      </c>
      <c r="G3950" s="3" t="s">
        <v>55</v>
      </c>
      <c r="H3950" s="2" t="s">
        <v>65</v>
      </c>
      <c r="I3950" s="2" t="s">
        <v>9768</v>
      </c>
      <c r="J3950" s="3" t="str">
        <f>HYPERLINK("https://www.boe.es/gazeta/dias/1819/12/11/pdfs/GMD-1819-152.pdf#page=7","Abrir facsímil")</f>
        <v>Abrir facsímil</v>
      </c>
      <c r="K3950" s="3" t="s">
        <v>67</v>
      </c>
    </row>
    <row r="3951" spans="1:11" ht="42" customHeight="1">
      <c r="A3951" s="2" t="s">
        <v>9769</v>
      </c>
      <c r="B3951" s="2" t="s">
        <v>9770</v>
      </c>
      <c r="C3951" s="2" t="s">
        <v>59</v>
      </c>
      <c r="D3951" s="2" t="s">
        <v>18</v>
      </c>
      <c r="E3951" s="5">
        <v>-29271</v>
      </c>
      <c r="F3951" s="3" t="s">
        <v>32</v>
      </c>
      <c r="G3951" s="3" t="s">
        <v>33</v>
      </c>
      <c r="H3951" s="2" t="s">
        <v>65</v>
      </c>
      <c r="I3951" s="2" t="s">
        <v>9771</v>
      </c>
      <c r="J3951" s="3" t="str">
        <f>HYPERLINK("https://www.boe.es/gazeta/dias/1819/11/09/pdfs/GMD-1819-138.pdf#page=6","Abrir facsímil")</f>
        <v>Abrir facsímil</v>
      </c>
      <c r="K3951" s="3" t="s">
        <v>67</v>
      </c>
    </row>
    <row r="3952" spans="1:11" ht="42" customHeight="1">
      <c r="A3952" s="2" t="s">
        <v>9772</v>
      </c>
      <c r="B3952" s="2" t="s">
        <v>9773</v>
      </c>
      <c r="C3952" s="2" t="s">
        <v>59</v>
      </c>
      <c r="D3952" s="2" t="s">
        <v>18</v>
      </c>
      <c r="E3952" s="5">
        <v>-29316</v>
      </c>
      <c r="F3952" s="3" t="s">
        <v>166</v>
      </c>
      <c r="G3952" s="3" t="s">
        <v>28</v>
      </c>
      <c r="H3952" s="2" t="s">
        <v>65</v>
      </c>
      <c r="I3952" s="2" t="s">
        <v>9774</v>
      </c>
      <c r="J3952" s="3" t="str">
        <f>HYPERLINK("https://www.boe.es/gazeta/dias/1819/09/25/pdfs/GMD-1819-118.pdf#page=8","Abrir facsímil")</f>
        <v>Abrir facsímil</v>
      </c>
      <c r="K3952" s="3" t="s">
        <v>67</v>
      </c>
    </row>
    <row r="3953" spans="1:11" ht="42" customHeight="1">
      <c r="A3953" s="2" t="s">
        <v>9775</v>
      </c>
      <c r="B3953" s="2" t="s">
        <v>9776</v>
      </c>
      <c r="C3953" s="2" t="s">
        <v>59</v>
      </c>
      <c r="D3953" s="2" t="s">
        <v>18</v>
      </c>
      <c r="E3953" s="5">
        <v>-29516</v>
      </c>
      <c r="F3953" s="3" t="s">
        <v>137</v>
      </c>
      <c r="G3953" s="3" t="s">
        <v>456</v>
      </c>
      <c r="H3953" s="2" t="s">
        <v>21</v>
      </c>
      <c r="I3953" s="2" t="s">
        <v>9777</v>
      </c>
      <c r="J3953" s="3" t="str">
        <f>HYPERLINK("https://www.boe.es/gazeta/dias/1819/03/09/pdfs/GMD-1819-29.pdf#page=9","Abrir facsímil")</f>
        <v>Abrir facsímil</v>
      </c>
      <c r="K3953" s="3" t="s">
        <v>23</v>
      </c>
    </row>
    <row r="3954" spans="1:11" ht="42" customHeight="1">
      <c r="A3954" s="2" t="s">
        <v>9778</v>
      </c>
      <c r="B3954" s="2" t="s">
        <v>9779</v>
      </c>
      <c r="C3954" s="2" t="s">
        <v>80</v>
      </c>
      <c r="D3954" s="2" t="s">
        <v>81</v>
      </c>
      <c r="E3954" s="5">
        <v>-29243</v>
      </c>
      <c r="F3954" s="3" t="s">
        <v>2099</v>
      </c>
      <c r="G3954" s="3" t="s">
        <v>2100</v>
      </c>
      <c r="H3954" s="2" t="s">
        <v>65</v>
      </c>
      <c r="I3954" s="2" t="s">
        <v>9780</v>
      </c>
      <c r="J3954" s="3" t="str">
        <f>HYPERLINK("https://www.boe.es/gazeta/dias/1819/12/07/pdfs/GMD-1819-150.pdf#page=6","Abrir facsímil")</f>
        <v>Abrir facsímil</v>
      </c>
      <c r="K3954" s="3" t="s">
        <v>67</v>
      </c>
    </row>
    <row r="3955" spans="1:11" ht="42" customHeight="1">
      <c r="A3955" s="2" t="s">
        <v>9781</v>
      </c>
      <c r="B3955" s="2" t="s">
        <v>9782</v>
      </c>
      <c r="C3955" s="2" t="s">
        <v>63</v>
      </c>
      <c r="D3955" s="2" t="s">
        <v>43</v>
      </c>
      <c r="E3955" s="5">
        <v>-29570</v>
      </c>
      <c r="F3955" s="3" t="s">
        <v>2008</v>
      </c>
      <c r="G3955" s="3" t="s">
        <v>55</v>
      </c>
      <c r="H3955" s="2" t="s">
        <v>65</v>
      </c>
      <c r="I3955" s="2" t="s">
        <v>9783</v>
      </c>
      <c r="J3955" s="3" t="str">
        <f>HYPERLINK("https://www.boe.es/gazeta/dias/1819/01/14/pdfs/GMD-1819-6.pdf#page=7","Abrir facsímil")</f>
        <v>Abrir facsímil</v>
      </c>
      <c r="K3955" s="3" t="s">
        <v>67</v>
      </c>
    </row>
    <row r="3956" spans="1:11" ht="42" customHeight="1">
      <c r="A3956" s="2" t="s">
        <v>9784</v>
      </c>
      <c r="B3956" s="2" t="s">
        <v>9785</v>
      </c>
      <c r="C3956" s="2" t="s">
        <v>59</v>
      </c>
      <c r="D3956" s="2" t="s">
        <v>18</v>
      </c>
      <c r="E3956" s="5">
        <v>-29292</v>
      </c>
      <c r="F3956" s="3" t="s">
        <v>875</v>
      </c>
      <c r="G3956" s="3" t="s">
        <v>28</v>
      </c>
      <c r="H3956" s="2" t="s">
        <v>65</v>
      </c>
      <c r="I3956" s="2" t="s">
        <v>9786</v>
      </c>
      <c r="J3956" s="3" t="str">
        <f>HYPERLINK("https://www.boe.es/gazeta/dias/1819/10/19/pdfs/GMD-1819-128.pdf#page=8","Abrir facsímil")</f>
        <v>Abrir facsímil</v>
      </c>
      <c r="K3956" s="3" t="s">
        <v>67</v>
      </c>
    </row>
    <row r="3957" spans="1:11" ht="42" customHeight="1">
      <c r="A3957" s="2" t="s">
        <v>9787</v>
      </c>
      <c r="B3957" s="2" t="s">
        <v>9788</v>
      </c>
      <c r="C3957" s="2" t="s">
        <v>59</v>
      </c>
      <c r="D3957" s="2" t="s">
        <v>18</v>
      </c>
      <c r="E3957" s="5">
        <v>-29474</v>
      </c>
      <c r="F3957" s="3" t="s">
        <v>216</v>
      </c>
      <c r="G3957" s="3" t="s">
        <v>33</v>
      </c>
      <c r="H3957" s="2" t="s">
        <v>65</v>
      </c>
      <c r="I3957" s="2" t="s">
        <v>9789</v>
      </c>
      <c r="J3957" s="3" t="str">
        <f>HYPERLINK("https://www.boe.es/gazeta/dias/1819/04/20/pdfs/GMD-1819-47.pdf#page=6","Abrir facsímil")</f>
        <v>Abrir facsímil</v>
      </c>
      <c r="K3957" s="3" t="s">
        <v>67</v>
      </c>
    </row>
    <row r="3958" spans="1:11" ht="42" customHeight="1">
      <c r="A3958" s="2" t="s">
        <v>9790</v>
      </c>
      <c r="B3958" s="2" t="s">
        <v>9791</v>
      </c>
      <c r="C3958" s="2" t="s">
        <v>80</v>
      </c>
      <c r="D3958" s="2" t="s">
        <v>81</v>
      </c>
      <c r="E3958" s="5">
        <v>-29264</v>
      </c>
      <c r="F3958" s="3" t="s">
        <v>37</v>
      </c>
      <c r="G3958" s="3" t="s">
        <v>1794</v>
      </c>
      <c r="H3958" s="2" t="s">
        <v>65</v>
      </c>
      <c r="I3958" s="2" t="s">
        <v>9792</v>
      </c>
      <c r="J3958" s="3" t="str">
        <f>HYPERLINK("https://www.boe.es/gazeta/dias/1819/11/16/pdfs/GMD-1819-141.pdf#page=11","Abrir facsímil")</f>
        <v>Abrir facsímil</v>
      </c>
      <c r="K3958" s="3" t="s">
        <v>67</v>
      </c>
    </row>
    <row r="3959" spans="1:11" ht="42" customHeight="1">
      <c r="A3959" s="2" t="s">
        <v>9793</v>
      </c>
      <c r="B3959" s="2" t="s">
        <v>9794</v>
      </c>
      <c r="C3959" s="2" t="s">
        <v>80</v>
      </c>
      <c r="D3959" s="2" t="s">
        <v>454</v>
      </c>
      <c r="E3959" s="5">
        <v>-29287</v>
      </c>
      <c r="F3959" s="3" t="s">
        <v>455</v>
      </c>
      <c r="G3959" s="3" t="s">
        <v>456</v>
      </c>
      <c r="H3959" s="2" t="s">
        <v>65</v>
      </c>
      <c r="I3959" s="2" t="s">
        <v>9795</v>
      </c>
      <c r="J3959" s="3" t="str">
        <f>HYPERLINK("https://www.boe.es/gazeta/dias/1819/10/24/pdfs/GMD-1819-131E.pdf#page=9","Abrir facsímil")</f>
        <v>Abrir facsímil</v>
      </c>
      <c r="K3959" s="3" t="s">
        <v>67</v>
      </c>
    </row>
    <row r="3960" spans="1:11" ht="42" customHeight="1">
      <c r="A3960" s="2" t="s">
        <v>9796</v>
      </c>
      <c r="B3960" s="2" t="s">
        <v>9797</v>
      </c>
      <c r="C3960" s="2" t="s">
        <v>80</v>
      </c>
      <c r="D3960" s="2" t="s">
        <v>81</v>
      </c>
      <c r="E3960" s="5">
        <v>-29547</v>
      </c>
      <c r="F3960" s="3" t="s">
        <v>238</v>
      </c>
      <c r="G3960" s="3" t="s">
        <v>33</v>
      </c>
      <c r="H3960" s="2" t="s">
        <v>65</v>
      </c>
      <c r="I3960" s="2" t="s">
        <v>9798</v>
      </c>
      <c r="J3960" s="3" t="str">
        <f>HYPERLINK("https://www.boe.es/gazeta/dias/1819/02/06/pdfs/GMD-1819-16.pdf#page=6","Abrir facsímil")</f>
        <v>Abrir facsímil</v>
      </c>
      <c r="K3960" s="3" t="s">
        <v>67</v>
      </c>
    </row>
    <row r="3961" spans="1:11" ht="42" customHeight="1">
      <c r="A3961" s="2" t="s">
        <v>9799</v>
      </c>
      <c r="B3961" s="2" t="s">
        <v>9800</v>
      </c>
      <c r="C3961" s="2" t="s">
        <v>17</v>
      </c>
      <c r="D3961" s="2" t="s">
        <v>18</v>
      </c>
      <c r="E3961" s="5">
        <v>-29229</v>
      </c>
      <c r="F3961" s="3" t="s">
        <v>44</v>
      </c>
      <c r="G3961" s="3" t="s">
        <v>296</v>
      </c>
      <c r="H3961" s="2" t="s">
        <v>21</v>
      </c>
      <c r="I3961" s="2" t="s">
        <v>9801</v>
      </c>
      <c r="J3961" s="3" t="str">
        <f>HYPERLINK("https://www.boe.es/gazeta/dias/1819/12/21/pdfs/GMD-1819-156.pdf#page=4","Abrir facsímil")</f>
        <v>Abrir facsímil</v>
      </c>
      <c r="K3961" s="3" t="s">
        <v>23</v>
      </c>
    </row>
    <row r="3962" spans="1:11" ht="42" customHeight="1">
      <c r="A3962" s="2" t="s">
        <v>9802</v>
      </c>
      <c r="B3962" s="2" t="s">
        <v>9802</v>
      </c>
      <c r="C3962" s="2" t="s">
        <v>80</v>
      </c>
      <c r="D3962" s="2" t="s">
        <v>81</v>
      </c>
      <c r="E3962" s="5">
        <v>-29341</v>
      </c>
      <c r="F3962" s="3" t="s">
        <v>806</v>
      </c>
      <c r="G3962" s="3" t="s">
        <v>259</v>
      </c>
      <c r="H3962" s="2" t="s">
        <v>65</v>
      </c>
      <c r="I3962" s="2" t="s">
        <v>9803</v>
      </c>
      <c r="J3962" s="3" t="str">
        <f>HYPERLINK("https://www.boe.es/gazeta/dias/1819/08/31/pdfs/GMD-1819-105.pdf#page=2","Abrir facsímil")</f>
        <v>Abrir facsímil</v>
      </c>
      <c r="K3962" s="3" t="s">
        <v>67</v>
      </c>
    </row>
    <row r="3963" spans="1:11" ht="42" customHeight="1">
      <c r="A3963" s="2" t="s">
        <v>9804</v>
      </c>
      <c r="B3963" s="2" t="s">
        <v>9805</v>
      </c>
      <c r="C3963" s="2" t="s">
        <v>136</v>
      </c>
      <c r="D3963" s="2" t="s">
        <v>18</v>
      </c>
      <c r="E3963" s="5">
        <v>-29290</v>
      </c>
      <c r="F3963" s="3" t="s">
        <v>622</v>
      </c>
      <c r="G3963" s="3" t="s">
        <v>239</v>
      </c>
      <c r="H3963" s="2" t="s">
        <v>65</v>
      </c>
      <c r="I3963" s="2" t="s">
        <v>9806</v>
      </c>
      <c r="J3963" s="3" t="str">
        <f>HYPERLINK("https://www.boe.es/gazeta/dias/1819/10/21/pdfs/GMD-1819-129.pdf#page=1","Abrir facsímil")</f>
        <v>Abrir facsímil</v>
      </c>
      <c r="K3963" s="3" t="s">
        <v>67</v>
      </c>
    </row>
    <row r="3964" spans="1:11" ht="42" customHeight="1">
      <c r="A3964" s="2" t="s">
        <v>9807</v>
      </c>
      <c r="B3964" s="2" t="s">
        <v>9808</v>
      </c>
      <c r="C3964" s="2" t="s">
        <v>136</v>
      </c>
      <c r="D3964" s="2" t="s">
        <v>18</v>
      </c>
      <c r="E3964" s="5">
        <v>-29285</v>
      </c>
      <c r="F3964" s="3" t="s">
        <v>578</v>
      </c>
      <c r="G3964" s="3" t="s">
        <v>102</v>
      </c>
      <c r="H3964" s="2" t="s">
        <v>65</v>
      </c>
      <c r="I3964" s="2" t="s">
        <v>9809</v>
      </c>
      <c r="J3964" s="3" t="str">
        <f>HYPERLINK("https://www.boe.es/gazeta/dias/1819/10/26/pdfs/GMD-1819-132.pdf#page=3","Abrir facsímil")</f>
        <v>Abrir facsímil</v>
      </c>
      <c r="K3964" s="3" t="s">
        <v>67</v>
      </c>
    </row>
    <row r="3965" spans="1:11" ht="42" customHeight="1">
      <c r="A3965" s="2" t="s">
        <v>9810</v>
      </c>
      <c r="B3965" s="2" t="s">
        <v>9810</v>
      </c>
      <c r="C3965" s="2" t="s">
        <v>80</v>
      </c>
      <c r="D3965" s="2" t="s">
        <v>81</v>
      </c>
      <c r="E3965" s="5">
        <v>-29327</v>
      </c>
      <c r="F3965" s="3" t="s">
        <v>620</v>
      </c>
      <c r="G3965" s="3" t="s">
        <v>259</v>
      </c>
      <c r="H3965" s="2" t="s">
        <v>65</v>
      </c>
      <c r="I3965" s="2" t="s">
        <v>9811</v>
      </c>
      <c r="J3965" s="3" t="str">
        <f>HYPERLINK("https://www.boe.es/gazeta/dias/1819/09/14/pdfs/GMD-1819-112.pdf#page=2","Abrir facsímil")</f>
        <v>Abrir facsímil</v>
      </c>
      <c r="K3965" s="3" t="s">
        <v>67</v>
      </c>
    </row>
    <row r="3966" spans="1:11" ht="42" customHeight="1">
      <c r="A3966" s="2" t="s">
        <v>9812</v>
      </c>
      <c r="B3966" s="2" t="s">
        <v>9812</v>
      </c>
      <c r="C3966" s="2" t="s">
        <v>59</v>
      </c>
      <c r="D3966" s="2" t="s">
        <v>18</v>
      </c>
      <c r="E3966" s="5">
        <v>-29327</v>
      </c>
      <c r="F3966" s="3" t="s">
        <v>620</v>
      </c>
      <c r="G3966" s="3" t="s">
        <v>102</v>
      </c>
      <c r="H3966" s="2" t="s">
        <v>65</v>
      </c>
      <c r="I3966" s="2" t="s">
        <v>9813</v>
      </c>
      <c r="J3966" s="3" t="str">
        <f>HYPERLINK("https://www.boe.es/gazeta/dias/1819/09/14/pdfs/GMD-1819-112.pdf#page=3","Abrir facsímil")</f>
        <v>Abrir facsímil</v>
      </c>
      <c r="K3966" s="3" t="s">
        <v>67</v>
      </c>
    </row>
    <row r="3967" spans="1:11" ht="42" customHeight="1">
      <c r="A3967" s="2" t="s">
        <v>9814</v>
      </c>
      <c r="B3967" s="2" t="s">
        <v>9814</v>
      </c>
      <c r="C3967" s="2" t="s">
        <v>136</v>
      </c>
      <c r="D3967" s="2" t="s">
        <v>18</v>
      </c>
      <c r="E3967" s="5">
        <v>-29577</v>
      </c>
      <c r="F3967" s="3" t="s">
        <v>1008</v>
      </c>
      <c r="G3967" s="3" t="s">
        <v>296</v>
      </c>
      <c r="H3967" s="2" t="s">
        <v>65</v>
      </c>
      <c r="I3967" s="2" t="s">
        <v>9815</v>
      </c>
      <c r="J3967" s="3" t="str">
        <f>HYPERLINK("https://www.boe.es/gazeta/dias/1819/01/07/pdfs/GMD-1819-3.pdf#page=4","Abrir facsímil")</f>
        <v>Abrir facsímil</v>
      </c>
      <c r="K3967" s="3" t="s">
        <v>67</v>
      </c>
    </row>
    <row r="3968" spans="1:11" ht="42" customHeight="1">
      <c r="A3968" s="2" t="s">
        <v>9814</v>
      </c>
      <c r="B3968" s="2" t="s">
        <v>9814</v>
      </c>
      <c r="C3968" s="2" t="s">
        <v>63</v>
      </c>
      <c r="D3968" s="2" t="s">
        <v>43</v>
      </c>
      <c r="E3968" s="5">
        <v>-29509</v>
      </c>
      <c r="F3968" s="3" t="s">
        <v>942</v>
      </c>
      <c r="G3968" s="3" t="s">
        <v>296</v>
      </c>
      <c r="H3968" s="2" t="s">
        <v>65</v>
      </c>
      <c r="I3968" s="2" t="s">
        <v>9816</v>
      </c>
      <c r="J3968" s="3" t="str">
        <f>HYPERLINK("https://www.boe.es/gazeta/dias/1819/03/16/pdfs/GMD-1819-32.pdf#page=4","Abrir facsímil")</f>
        <v>Abrir facsímil</v>
      </c>
      <c r="K3968" s="3" t="s">
        <v>67</v>
      </c>
    </row>
    <row r="3969" spans="1:11" ht="42" customHeight="1">
      <c r="A3969" s="2" t="s">
        <v>9814</v>
      </c>
      <c r="B3969" s="2" t="s">
        <v>9814</v>
      </c>
      <c r="C3969" s="2" t="s">
        <v>63</v>
      </c>
      <c r="D3969" s="2" t="s">
        <v>43</v>
      </c>
      <c r="E3969" s="5">
        <v>-29432</v>
      </c>
      <c r="F3969" s="3" t="s">
        <v>1967</v>
      </c>
      <c r="G3969" s="3" t="s">
        <v>1968</v>
      </c>
      <c r="H3969" s="2" t="s">
        <v>65</v>
      </c>
      <c r="I3969" s="2" t="s">
        <v>9817</v>
      </c>
      <c r="J3969" s="3" t="str">
        <f>HYPERLINK("https://www.boe.es/gazeta/dias/1819/06/01/pdfs/GMD-1819-65.pdf#page=4","Abrir facsímil")</f>
        <v>Abrir facsímil</v>
      </c>
      <c r="K3969" s="3" t="s">
        <v>67</v>
      </c>
    </row>
    <row r="3970" spans="1:11" ht="42" customHeight="1">
      <c r="A3970" s="2" t="s">
        <v>9814</v>
      </c>
      <c r="B3970" s="2" t="s">
        <v>9814</v>
      </c>
      <c r="C3970" s="2" t="s">
        <v>59</v>
      </c>
      <c r="D3970" s="2" t="s">
        <v>18</v>
      </c>
      <c r="E3970" s="5">
        <v>-29316</v>
      </c>
      <c r="F3970" s="3" t="s">
        <v>166</v>
      </c>
      <c r="G3970" s="3" t="s">
        <v>296</v>
      </c>
      <c r="H3970" s="2" t="s">
        <v>65</v>
      </c>
      <c r="I3970" s="2" t="s">
        <v>9818</v>
      </c>
      <c r="J3970" s="3" t="str">
        <f>HYPERLINK("https://www.boe.es/gazeta/dias/1819/09/25/pdfs/GMD-1819-118.pdf#page=4","Abrir facsímil")</f>
        <v>Abrir facsímil</v>
      </c>
      <c r="K3970" s="3" t="s">
        <v>67</v>
      </c>
    </row>
    <row r="3971" spans="1:11" ht="42" customHeight="1">
      <c r="A3971" s="2" t="s">
        <v>9814</v>
      </c>
      <c r="B3971" s="2" t="s">
        <v>9814</v>
      </c>
      <c r="C3971" s="2" t="s">
        <v>59</v>
      </c>
      <c r="D3971" s="2" t="s">
        <v>18</v>
      </c>
      <c r="E3971" s="5">
        <v>-29311</v>
      </c>
      <c r="F3971" s="3" t="s">
        <v>678</v>
      </c>
      <c r="G3971" s="3" t="s">
        <v>259</v>
      </c>
      <c r="H3971" s="2" t="s">
        <v>65</v>
      </c>
      <c r="I3971" s="2" t="s">
        <v>9819</v>
      </c>
      <c r="J3971" s="3" t="str">
        <f>HYPERLINK("https://www.boe.es/gazeta/dias/1819/09/30/pdfs/GMD-1819-120.pdf#page=2","Abrir facsímil")</f>
        <v>Abrir facsímil</v>
      </c>
      <c r="K3971" s="3" t="s">
        <v>67</v>
      </c>
    </row>
    <row r="3972" spans="1:11" ht="42" customHeight="1">
      <c r="A3972" s="2" t="s">
        <v>9820</v>
      </c>
      <c r="B3972" s="2" t="s">
        <v>9820</v>
      </c>
      <c r="C3972" s="2" t="s">
        <v>136</v>
      </c>
      <c r="D3972" s="2" t="s">
        <v>18</v>
      </c>
      <c r="E3972" s="5">
        <v>-29437</v>
      </c>
      <c r="F3972" s="3" t="s">
        <v>1147</v>
      </c>
      <c r="G3972" s="3" t="s">
        <v>296</v>
      </c>
      <c r="H3972" s="2" t="s">
        <v>65</v>
      </c>
      <c r="I3972" s="2" t="s">
        <v>9821</v>
      </c>
      <c r="J3972" s="3" t="str">
        <f>HYPERLINK("https://www.boe.es/gazeta/dias/1819/05/27/pdfs/GMD-1819-63.pdf#page=4","Abrir facsímil")</f>
        <v>Abrir facsímil</v>
      </c>
      <c r="K3972" s="3" t="s">
        <v>67</v>
      </c>
    </row>
    <row r="3973" spans="1:11" ht="42" customHeight="1">
      <c r="A3973" s="2" t="s">
        <v>9822</v>
      </c>
      <c r="B3973" s="2" t="s">
        <v>9822</v>
      </c>
      <c r="C3973" s="2" t="s">
        <v>80</v>
      </c>
      <c r="D3973" s="2" t="s">
        <v>81</v>
      </c>
      <c r="E3973" s="5">
        <v>-29470</v>
      </c>
      <c r="F3973" s="3" t="s">
        <v>1188</v>
      </c>
      <c r="G3973" s="3" t="s">
        <v>239</v>
      </c>
      <c r="H3973" s="2" t="s">
        <v>65</v>
      </c>
      <c r="I3973" s="2" t="s">
        <v>9823</v>
      </c>
      <c r="J3973" s="3" t="str">
        <f>HYPERLINK("https://www.boe.es/gazeta/dias/1819/04/24/pdfs/GMD-1819-49.pdf#page=1","Abrir facsímil")</f>
        <v>Abrir facsímil</v>
      </c>
      <c r="K3973" s="3" t="s">
        <v>67</v>
      </c>
    </row>
    <row r="3974" spans="1:11" ht="42" customHeight="1">
      <c r="A3974" s="2" t="s">
        <v>9824</v>
      </c>
      <c r="B3974" s="2" t="s">
        <v>9824</v>
      </c>
      <c r="C3974" s="2" t="s">
        <v>80</v>
      </c>
      <c r="D3974" s="2" t="s">
        <v>81</v>
      </c>
      <c r="E3974" s="5">
        <v>-29549</v>
      </c>
      <c r="F3974" s="3" t="s">
        <v>124</v>
      </c>
      <c r="G3974" s="3" t="s">
        <v>9825</v>
      </c>
      <c r="H3974" s="2" t="s">
        <v>65</v>
      </c>
      <c r="I3974" s="2" t="s">
        <v>9826</v>
      </c>
      <c r="J3974" s="3" t="str">
        <f>HYPERLINK("https://www.boe.es/gazeta/dias/1819/02/04/pdfs/GMD-1819-15.pdf#page=2","Abrir facsímil")</f>
        <v>Abrir facsímil</v>
      </c>
      <c r="K3974" s="3" t="s">
        <v>67</v>
      </c>
    </row>
    <row r="3975" spans="1:11" ht="42" customHeight="1">
      <c r="A3975" s="2" t="s">
        <v>9824</v>
      </c>
      <c r="B3975" s="2" t="s">
        <v>9824</v>
      </c>
      <c r="C3975" s="2" t="s">
        <v>80</v>
      </c>
      <c r="D3975" s="2" t="s">
        <v>81</v>
      </c>
      <c r="E3975" s="5">
        <v>-29549</v>
      </c>
      <c r="F3975" s="3" t="s">
        <v>124</v>
      </c>
      <c r="G3975" s="3" t="s">
        <v>9827</v>
      </c>
      <c r="H3975" s="2" t="s">
        <v>65</v>
      </c>
      <c r="I3975" s="2" t="s">
        <v>9828</v>
      </c>
      <c r="J3975" s="3" t="str">
        <f>HYPERLINK("https://www.boe.es/gazeta/dias/1819/02/04/pdfs/GMD-1819-15.pdf#page=3","Abrir facsímil")</f>
        <v>Abrir facsímil</v>
      </c>
      <c r="K3975" s="3" t="s">
        <v>67</v>
      </c>
    </row>
    <row r="3976" spans="1:11" ht="42" customHeight="1">
      <c r="A3976" s="2" t="s">
        <v>9829</v>
      </c>
      <c r="B3976" s="2" t="s">
        <v>9829</v>
      </c>
      <c r="C3976" s="2" t="s">
        <v>80</v>
      </c>
      <c r="D3976" s="2" t="s">
        <v>81</v>
      </c>
      <c r="E3976" s="5">
        <v>-29549</v>
      </c>
      <c r="F3976" s="3" t="s">
        <v>124</v>
      </c>
      <c r="G3976" s="3" t="s">
        <v>9825</v>
      </c>
      <c r="H3976" s="2" t="s">
        <v>65</v>
      </c>
      <c r="I3976" s="2" t="s">
        <v>9830</v>
      </c>
      <c r="J3976" s="3" t="str">
        <f>HYPERLINK("https://www.boe.es/gazeta/dias/1819/02/04/pdfs/GMD-1819-15.pdf#page=2","Abrir facsímil")</f>
        <v>Abrir facsímil</v>
      </c>
      <c r="K3976" s="3" t="s">
        <v>67</v>
      </c>
    </row>
    <row r="3977" spans="1:11" ht="42" customHeight="1">
      <c r="A3977" s="2" t="s">
        <v>9831</v>
      </c>
      <c r="B3977" s="2" t="s">
        <v>9832</v>
      </c>
      <c r="C3977" s="2" t="s">
        <v>17</v>
      </c>
      <c r="D3977" s="2" t="s">
        <v>18</v>
      </c>
      <c r="E3977" s="5">
        <v>-29533</v>
      </c>
      <c r="F3977" s="3" t="s">
        <v>280</v>
      </c>
      <c r="G3977" s="3" t="s">
        <v>28</v>
      </c>
      <c r="H3977" s="2" t="s">
        <v>65</v>
      </c>
      <c r="I3977" s="2" t="s">
        <v>9833</v>
      </c>
      <c r="J3977" s="3" t="str">
        <f>HYPERLINK("https://www.boe.es/gazeta/dias/1819/02/20/pdfs/GMD-1819-22.pdf#page=8","Abrir facsímil")</f>
        <v>Abrir facsímil</v>
      </c>
      <c r="K3977" s="3" t="s">
        <v>67</v>
      </c>
    </row>
    <row r="3978" spans="1:11" ht="42" customHeight="1">
      <c r="A3978" s="2" t="s">
        <v>9831</v>
      </c>
      <c r="B3978" s="2" t="s">
        <v>9832</v>
      </c>
      <c r="C3978" s="2" t="s">
        <v>136</v>
      </c>
      <c r="D3978" s="2" t="s">
        <v>18</v>
      </c>
      <c r="E3978" s="5">
        <v>-29509</v>
      </c>
      <c r="F3978" s="3" t="s">
        <v>942</v>
      </c>
      <c r="G3978" s="3" t="s">
        <v>28</v>
      </c>
      <c r="H3978" s="2" t="s">
        <v>65</v>
      </c>
      <c r="I3978" s="2" t="s">
        <v>9834</v>
      </c>
      <c r="J3978" s="3" t="str">
        <f>HYPERLINK("https://www.boe.es/gazeta/dias/1819/03/16/pdfs/GMD-1819-32.pdf#page=8","Abrir facsímil")</f>
        <v>Abrir facsímil</v>
      </c>
      <c r="K3978" s="3" t="s">
        <v>67</v>
      </c>
    </row>
    <row r="3979" spans="1:11" ht="42" customHeight="1">
      <c r="A3979" s="2" t="s">
        <v>9835</v>
      </c>
      <c r="B3979" s="2" t="s">
        <v>9835</v>
      </c>
      <c r="C3979" s="2" t="s">
        <v>246</v>
      </c>
      <c r="D3979" s="2" t="s">
        <v>18</v>
      </c>
      <c r="E3979" s="5">
        <v>-29465</v>
      </c>
      <c r="F3979" s="3" t="s">
        <v>1934</v>
      </c>
      <c r="G3979" s="3" t="s">
        <v>102</v>
      </c>
      <c r="H3979" s="2" t="s">
        <v>65</v>
      </c>
      <c r="I3979" s="2" t="s">
        <v>9836</v>
      </c>
      <c r="J3979" s="3" t="str">
        <f>HYPERLINK("https://www.boe.es/gazeta/dias/1819/04/29/pdfs/GMD-1819-51.pdf#page=3","Abrir facsímil")</f>
        <v>Abrir facsímil</v>
      </c>
      <c r="K3979" s="3" t="s">
        <v>67</v>
      </c>
    </row>
    <row r="3980" spans="1:11" ht="42" customHeight="1">
      <c r="A3980" s="2" t="s">
        <v>9835</v>
      </c>
      <c r="B3980" s="2" t="s">
        <v>9835</v>
      </c>
      <c r="C3980" s="2" t="s">
        <v>80</v>
      </c>
      <c r="D3980" s="2" t="s">
        <v>81</v>
      </c>
      <c r="E3980" s="5">
        <v>-29421</v>
      </c>
      <c r="F3980" s="3" t="s">
        <v>1972</v>
      </c>
      <c r="G3980" s="3" t="s">
        <v>2742</v>
      </c>
      <c r="H3980" s="2" t="s">
        <v>65</v>
      </c>
      <c r="I3980" s="2" t="s">
        <v>9837</v>
      </c>
      <c r="J3980" s="3" t="str">
        <f>HYPERLINK("https://www.boe.es/gazeta/dias/1819/06/12/pdfs/GMD-1819-70.pdf#page=4","Abrir facsímil")</f>
        <v>Abrir facsímil</v>
      </c>
      <c r="K3980" s="3" t="s">
        <v>67</v>
      </c>
    </row>
    <row r="3981" spans="1:11" ht="42" customHeight="1">
      <c r="A3981" s="2" t="s">
        <v>9838</v>
      </c>
      <c r="B3981" s="2" t="s">
        <v>9838</v>
      </c>
      <c r="C3981" s="2" t="s">
        <v>215</v>
      </c>
      <c r="D3981" s="2" t="s">
        <v>18</v>
      </c>
      <c r="E3981" s="5">
        <v>-29530</v>
      </c>
      <c r="F3981" s="3" t="s">
        <v>202</v>
      </c>
      <c r="G3981" s="3" t="s">
        <v>259</v>
      </c>
      <c r="H3981" s="2" t="s">
        <v>65</v>
      </c>
      <c r="I3981" s="2" t="s">
        <v>9839</v>
      </c>
      <c r="J3981" s="3" t="str">
        <f>HYPERLINK("https://www.boe.es/gazeta/dias/1819/02/23/pdfs/GMD-1819-23.pdf#page=2","Abrir facsímil")</f>
        <v>Abrir facsímil</v>
      </c>
      <c r="K3981" s="3" t="s">
        <v>67</v>
      </c>
    </row>
    <row r="3982" spans="1:11" ht="42" customHeight="1">
      <c r="A3982" s="2" t="s">
        <v>9840</v>
      </c>
      <c r="B3982" s="2" t="s">
        <v>9840</v>
      </c>
      <c r="C3982" s="2" t="s">
        <v>26</v>
      </c>
      <c r="D3982" s="2" t="s">
        <v>18</v>
      </c>
      <c r="E3982" s="5">
        <v>-29437</v>
      </c>
      <c r="F3982" s="3" t="s">
        <v>1147</v>
      </c>
      <c r="G3982" s="3" t="s">
        <v>102</v>
      </c>
      <c r="H3982" s="2" t="s">
        <v>65</v>
      </c>
      <c r="I3982" s="2" t="s">
        <v>9841</v>
      </c>
      <c r="J3982" s="3" t="str">
        <f>HYPERLINK("https://www.boe.es/gazeta/dias/1819/05/27/pdfs/GMD-1819-63.pdf#page=3","Abrir facsímil")</f>
        <v>Abrir facsímil</v>
      </c>
      <c r="K3982" s="3" t="s">
        <v>67</v>
      </c>
    </row>
    <row r="3983" spans="1:11" ht="42" customHeight="1">
      <c r="A3983" s="2" t="s">
        <v>9842</v>
      </c>
      <c r="B3983" s="2" t="s">
        <v>9842</v>
      </c>
      <c r="C3983" s="2" t="s">
        <v>80</v>
      </c>
      <c r="D3983" s="2" t="s">
        <v>81</v>
      </c>
      <c r="E3983" s="5">
        <v>-29341</v>
      </c>
      <c r="F3983" s="3" t="s">
        <v>806</v>
      </c>
      <c r="G3983" s="3" t="s">
        <v>259</v>
      </c>
      <c r="H3983" s="2" t="s">
        <v>65</v>
      </c>
      <c r="I3983" s="2" t="s">
        <v>9843</v>
      </c>
      <c r="J3983" s="3" t="str">
        <f>HYPERLINK("https://www.boe.es/gazeta/dias/1819/08/31/pdfs/GMD-1819-105.pdf#page=2","Abrir facsímil")</f>
        <v>Abrir facsímil</v>
      </c>
      <c r="K3983" s="3" t="s">
        <v>67</v>
      </c>
    </row>
    <row r="3984" spans="1:11" ht="42" customHeight="1">
      <c r="A3984" s="2" t="s">
        <v>9844</v>
      </c>
      <c r="B3984" s="2" t="s">
        <v>9844</v>
      </c>
      <c r="C3984" s="2" t="s">
        <v>80</v>
      </c>
      <c r="D3984" s="2" t="s">
        <v>81</v>
      </c>
      <c r="E3984" s="5">
        <v>-29549</v>
      </c>
      <c r="F3984" s="3" t="s">
        <v>124</v>
      </c>
      <c r="G3984" s="3" t="s">
        <v>9827</v>
      </c>
      <c r="H3984" s="2" t="s">
        <v>65</v>
      </c>
      <c r="I3984" s="2" t="s">
        <v>9845</v>
      </c>
      <c r="J3984" s="3" t="str">
        <f>HYPERLINK("https://www.boe.es/gazeta/dias/1819/02/04/pdfs/GMD-1819-15.pdf#page=3","Abrir facsímil")</f>
        <v>Abrir facsímil</v>
      </c>
      <c r="K3984" s="3" t="s">
        <v>67</v>
      </c>
    </row>
    <row r="3985" spans="1:11" ht="42" customHeight="1">
      <c r="A3985" s="2" t="s">
        <v>9846</v>
      </c>
      <c r="B3985" s="2" t="s">
        <v>9846</v>
      </c>
      <c r="C3985" s="2" t="s">
        <v>80</v>
      </c>
      <c r="D3985" s="2" t="s">
        <v>81</v>
      </c>
      <c r="E3985" s="5">
        <v>-29234</v>
      </c>
      <c r="F3985" s="3" t="s">
        <v>343</v>
      </c>
      <c r="G3985" s="3" t="s">
        <v>239</v>
      </c>
      <c r="H3985" s="2" t="s">
        <v>65</v>
      </c>
      <c r="I3985" s="2" t="s">
        <v>9847</v>
      </c>
      <c r="J3985" s="3" t="str">
        <f>HYPERLINK("https://www.boe.es/gazeta/dias/1819/12/16/pdfs/GMD-1819-154.pdf#page=1","Abrir facsímil")</f>
        <v>Abrir facsímil</v>
      </c>
      <c r="K3985" s="3" t="s">
        <v>67</v>
      </c>
    </row>
    <row r="3986" spans="1:11" ht="42" customHeight="1">
      <c r="A3986" s="2" t="s">
        <v>9848</v>
      </c>
      <c r="B3986" s="2" t="s">
        <v>9848</v>
      </c>
      <c r="C3986" s="2" t="s">
        <v>63</v>
      </c>
      <c r="D3986" s="2" t="s">
        <v>43</v>
      </c>
      <c r="E3986" s="5">
        <v>-29271</v>
      </c>
      <c r="F3986" s="3" t="s">
        <v>32</v>
      </c>
      <c r="G3986" s="3" t="s">
        <v>1281</v>
      </c>
      <c r="H3986" s="2" t="s">
        <v>65</v>
      </c>
      <c r="I3986" s="2" t="s">
        <v>9849</v>
      </c>
      <c r="J3986" s="3" t="str">
        <f>HYPERLINK("https://www.boe.es/gazeta/dias/1819/11/09/pdfs/GMD-1819-138.pdf#page=4","Abrir facsímil")</f>
        <v>Abrir facsímil</v>
      </c>
      <c r="K3986" s="3" t="s">
        <v>67</v>
      </c>
    </row>
    <row r="3987" spans="1:11" ht="42" customHeight="1">
      <c r="A3987" s="2" t="s">
        <v>9850</v>
      </c>
      <c r="B3987" s="2" t="s">
        <v>9851</v>
      </c>
      <c r="C3987" s="2" t="s">
        <v>246</v>
      </c>
      <c r="D3987" s="2" t="s">
        <v>18</v>
      </c>
      <c r="E3987" s="5">
        <v>-29535</v>
      </c>
      <c r="F3987" s="3" t="s">
        <v>200</v>
      </c>
      <c r="G3987" s="3" t="s">
        <v>239</v>
      </c>
      <c r="H3987" s="2" t="s">
        <v>65</v>
      </c>
      <c r="I3987" s="2" t="s">
        <v>9852</v>
      </c>
      <c r="J3987" s="3" t="str">
        <f>HYPERLINK("https://www.boe.es/gazeta/dias/1819/02/18/pdfs/GMD-1819-21.pdf#page=1","Abrir facsímil")</f>
        <v>Abrir facsímil</v>
      </c>
      <c r="K3987" s="3" t="s">
        <v>67</v>
      </c>
    </row>
    <row r="3988" spans="1:11" ht="42" customHeight="1">
      <c r="A3988" s="2" t="s">
        <v>9853</v>
      </c>
      <c r="B3988" s="2" t="s">
        <v>9854</v>
      </c>
      <c r="C3988" s="2" t="s">
        <v>26</v>
      </c>
      <c r="D3988" s="2" t="s">
        <v>18</v>
      </c>
      <c r="E3988" s="5">
        <v>-29269</v>
      </c>
      <c r="F3988" s="3" t="s">
        <v>565</v>
      </c>
      <c r="G3988" s="3" t="s">
        <v>296</v>
      </c>
      <c r="H3988" s="2" t="s">
        <v>21</v>
      </c>
      <c r="I3988" s="2" t="s">
        <v>9855</v>
      </c>
      <c r="J3988" s="3" t="str">
        <f>HYPERLINK("https://www.boe.es/gazeta/dias/1819/11/11/pdfs/GMD-1819-139.pdf#page=4","Abrir facsímil")</f>
        <v>Abrir facsímil</v>
      </c>
      <c r="K3988" s="3" t="s">
        <v>23</v>
      </c>
    </row>
    <row r="3989" spans="1:11" ht="42" customHeight="1">
      <c r="A3989" s="2" t="s">
        <v>9856</v>
      </c>
      <c r="B3989" s="2" t="s">
        <v>9857</v>
      </c>
      <c r="C3989" s="2" t="s">
        <v>17</v>
      </c>
      <c r="D3989" s="2" t="s">
        <v>18</v>
      </c>
      <c r="E3989" s="5">
        <v>-29271</v>
      </c>
      <c r="F3989" s="3" t="s">
        <v>32</v>
      </c>
      <c r="G3989" s="3" t="s">
        <v>33</v>
      </c>
      <c r="H3989" s="2" t="s">
        <v>21</v>
      </c>
      <c r="I3989" s="2" t="s">
        <v>9858</v>
      </c>
      <c r="J3989" s="3" t="str">
        <f>HYPERLINK("https://www.boe.es/gazeta/dias/1819/11/09/pdfs/GMD-1819-138.pdf#page=6","Abrir facsímil")</f>
        <v>Abrir facsímil</v>
      </c>
      <c r="K3989" s="3" t="s">
        <v>23</v>
      </c>
    </row>
    <row r="3990" spans="1:11" ht="42" customHeight="1">
      <c r="A3990" s="2" t="s">
        <v>9859</v>
      </c>
      <c r="B3990" s="2" t="s">
        <v>9860</v>
      </c>
      <c r="C3990" s="2" t="s">
        <v>80</v>
      </c>
      <c r="D3990" s="2" t="s">
        <v>81</v>
      </c>
      <c r="E3990" s="5">
        <v>-29257</v>
      </c>
      <c r="F3990" s="3" t="s">
        <v>73</v>
      </c>
      <c r="G3990" s="3" t="s">
        <v>3029</v>
      </c>
      <c r="H3990" s="2" t="s">
        <v>21</v>
      </c>
      <c r="I3990" s="2" t="s">
        <v>9861</v>
      </c>
      <c r="J3990" s="3" t="str">
        <f>HYPERLINK("https://www.boe.es/gazeta/dias/1819/11/23/pdfs/GMD-1819-144.pdf#page=7","Abrir facsímil")</f>
        <v>Abrir facsímil</v>
      </c>
      <c r="K3990" s="3" t="s">
        <v>23</v>
      </c>
    </row>
    <row r="3991" spans="1:11" ht="42" customHeight="1">
      <c r="A3991" s="2" t="s">
        <v>9862</v>
      </c>
      <c r="B3991" s="2" t="s">
        <v>9863</v>
      </c>
      <c r="C3991" s="2" t="s">
        <v>80</v>
      </c>
      <c r="D3991" s="2" t="s">
        <v>81</v>
      </c>
      <c r="E3991" s="5">
        <v>-29495</v>
      </c>
      <c r="F3991" s="3" t="s">
        <v>992</v>
      </c>
      <c r="G3991" s="3" t="s">
        <v>94</v>
      </c>
      <c r="H3991" s="2" t="s">
        <v>65</v>
      </c>
      <c r="I3991" s="2" t="s">
        <v>9864</v>
      </c>
      <c r="J3991" s="3" t="str">
        <f>HYPERLINK("https://www.boe.es/gazeta/dias/1819/03/30/pdfs/GMD-1819-38.pdf#page=11","Abrir facsímil")</f>
        <v>Abrir facsímil</v>
      </c>
      <c r="K3991" s="3" t="s">
        <v>67</v>
      </c>
    </row>
    <row r="3992" spans="1:11" ht="42" customHeight="1">
      <c r="A3992" s="2" t="s">
        <v>9862</v>
      </c>
      <c r="B3992" s="2" t="s">
        <v>9863</v>
      </c>
      <c r="C3992" s="2" t="s">
        <v>59</v>
      </c>
      <c r="D3992" s="2" t="s">
        <v>18</v>
      </c>
      <c r="E3992" s="5">
        <v>-29435</v>
      </c>
      <c r="F3992" s="3" t="s">
        <v>191</v>
      </c>
      <c r="G3992" s="3" t="s">
        <v>5458</v>
      </c>
      <c r="H3992" s="2" t="s">
        <v>65</v>
      </c>
      <c r="I3992" s="2" t="s">
        <v>9865</v>
      </c>
      <c r="J3992" s="3" t="str">
        <f>HYPERLINK("https://www.boe.es/gazeta/dias/1819/05/29/pdfs/GMD-1819-64.pdf#page=5","Abrir facsímil")</f>
        <v>Abrir facsímil</v>
      </c>
      <c r="K3992" s="3" t="s">
        <v>67</v>
      </c>
    </row>
    <row r="3993" spans="1:11" ht="42" customHeight="1">
      <c r="A3993" s="2" t="s">
        <v>9866</v>
      </c>
      <c r="B3993" s="2" t="s">
        <v>9867</v>
      </c>
      <c r="C3993" s="2" t="s">
        <v>26</v>
      </c>
      <c r="D3993" s="2" t="s">
        <v>18</v>
      </c>
      <c r="E3993" s="5">
        <v>-29407</v>
      </c>
      <c r="F3993" s="3" t="s">
        <v>64</v>
      </c>
      <c r="G3993" s="3" t="s">
        <v>38</v>
      </c>
      <c r="H3993" s="2" t="s">
        <v>65</v>
      </c>
      <c r="I3993" s="2" t="s">
        <v>9868</v>
      </c>
      <c r="J3993" s="3" t="str">
        <f>HYPERLINK("https://www.boe.es/gazeta/dias/1819/06/26/pdfs/GMD-1819-77.pdf#page=5","Abrir facsímil")</f>
        <v>Abrir facsímil</v>
      </c>
      <c r="K3993" s="3" t="s">
        <v>67</v>
      </c>
    </row>
    <row r="3994" spans="1:11" ht="42" customHeight="1">
      <c r="A3994" s="2" t="s">
        <v>9869</v>
      </c>
      <c r="B3994" s="2" t="s">
        <v>9870</v>
      </c>
      <c r="C3994" s="2" t="s">
        <v>59</v>
      </c>
      <c r="D3994" s="2" t="s">
        <v>18</v>
      </c>
      <c r="E3994" s="5">
        <v>-29365</v>
      </c>
      <c r="F3994" s="3" t="s">
        <v>218</v>
      </c>
      <c r="G3994" s="3" t="s">
        <v>38</v>
      </c>
      <c r="H3994" s="2" t="s">
        <v>65</v>
      </c>
      <c r="I3994" s="2" t="s">
        <v>9871</v>
      </c>
      <c r="J3994" s="3" t="str">
        <f>HYPERLINK("https://www.boe.es/gazeta/dias/1819/08/07/pdfs/GMD-1819-95.pdf#page=5","Abrir facsímil")</f>
        <v>Abrir facsímil</v>
      </c>
      <c r="K3994" s="3" t="s">
        <v>67</v>
      </c>
    </row>
    <row r="3995" spans="1:11" ht="42" customHeight="1">
      <c r="A3995" s="2" t="s">
        <v>9872</v>
      </c>
      <c r="B3995" s="2" t="s">
        <v>9873</v>
      </c>
      <c r="C3995" s="2" t="s">
        <v>80</v>
      </c>
      <c r="D3995" s="2" t="s">
        <v>81</v>
      </c>
      <c r="E3995" s="5">
        <v>-29449</v>
      </c>
      <c r="F3995" s="3" t="s">
        <v>771</v>
      </c>
      <c r="G3995" s="3" t="s">
        <v>33</v>
      </c>
      <c r="H3995" s="2" t="s">
        <v>65</v>
      </c>
      <c r="I3995" s="2" t="s">
        <v>9874</v>
      </c>
      <c r="J3995" s="3" t="str">
        <f>HYPERLINK("https://www.boe.es/gazeta/dias/1819/05/15/pdfs/GMD-1819-58.pdf#page=6","Abrir facsímil")</f>
        <v>Abrir facsímil</v>
      </c>
      <c r="K3995" s="3" t="s">
        <v>67</v>
      </c>
    </row>
    <row r="3996" spans="1:11" ht="42" customHeight="1">
      <c r="A3996" s="2" t="s">
        <v>9872</v>
      </c>
      <c r="B3996" s="2" t="s">
        <v>9873</v>
      </c>
      <c r="C3996" s="2" t="s">
        <v>17</v>
      </c>
      <c r="D3996" s="2" t="s">
        <v>18</v>
      </c>
      <c r="E3996" s="5">
        <v>-29260</v>
      </c>
      <c r="F3996" s="3" t="s">
        <v>93</v>
      </c>
      <c r="G3996" s="3" t="s">
        <v>33</v>
      </c>
      <c r="H3996" s="2" t="s">
        <v>65</v>
      </c>
      <c r="I3996" s="2" t="s">
        <v>9875</v>
      </c>
      <c r="J3996" s="3" t="str">
        <f>HYPERLINK("https://www.boe.es/gazeta/dias/1819/11/20/pdfs/GMD-1819-143.pdf#page=6","Abrir facsímil")</f>
        <v>Abrir facsímil</v>
      </c>
      <c r="K3996" s="3" t="s">
        <v>67</v>
      </c>
    </row>
    <row r="3997" spans="1:11" ht="42" customHeight="1">
      <c r="A3997" s="2" t="s">
        <v>9872</v>
      </c>
      <c r="B3997" s="2" t="s">
        <v>9873</v>
      </c>
      <c r="C3997" s="2" t="s">
        <v>80</v>
      </c>
      <c r="D3997" s="2" t="s">
        <v>81</v>
      </c>
      <c r="E3997" s="5">
        <v>-29220</v>
      </c>
      <c r="F3997" s="3" t="s">
        <v>397</v>
      </c>
      <c r="G3997" s="3" t="s">
        <v>28</v>
      </c>
      <c r="H3997" s="2" t="s">
        <v>65</v>
      </c>
      <c r="I3997" s="2" t="s">
        <v>9876</v>
      </c>
      <c r="J3997" s="3" t="str">
        <f>HYPERLINK("https://www.boe.es/gazeta/dias/1819/12/30/pdfs/GMD-1819-160.pdf#page=8","Abrir facsímil")</f>
        <v>Abrir facsímil</v>
      </c>
      <c r="K3997" s="3" t="s">
        <v>67</v>
      </c>
    </row>
    <row r="3998" spans="1:11" ht="42" customHeight="1">
      <c r="A3998" s="2" t="s">
        <v>9877</v>
      </c>
      <c r="B3998" s="2" t="s">
        <v>9878</v>
      </c>
      <c r="C3998" s="2" t="s">
        <v>215</v>
      </c>
      <c r="D3998" s="2" t="s">
        <v>18</v>
      </c>
      <c r="E3998" s="5">
        <v>-29565</v>
      </c>
      <c r="F3998" s="3" t="s">
        <v>293</v>
      </c>
      <c r="G3998" s="3" t="s">
        <v>1608</v>
      </c>
      <c r="H3998" s="2" t="s">
        <v>65</v>
      </c>
      <c r="I3998" s="2" t="s">
        <v>9879</v>
      </c>
      <c r="J3998" s="3" t="str">
        <f>HYPERLINK("https://www.boe.es/gazeta/dias/1819/01/19/pdfs/GMD-1819-8.pdf#page=8","Abrir facsímil")</f>
        <v>Abrir facsímil</v>
      </c>
      <c r="K3998" s="3" t="s">
        <v>67</v>
      </c>
    </row>
    <row r="3999" spans="1:11" ht="42" customHeight="1">
      <c r="A3999" s="2" t="s">
        <v>9880</v>
      </c>
      <c r="B3999" s="2" t="s">
        <v>9881</v>
      </c>
      <c r="C3999" s="2" t="s">
        <v>80</v>
      </c>
      <c r="D3999" s="2" t="s">
        <v>81</v>
      </c>
      <c r="E3999" s="5">
        <v>-29346</v>
      </c>
      <c r="F3999" s="3" t="s">
        <v>718</v>
      </c>
      <c r="G3999" s="3" t="s">
        <v>33</v>
      </c>
      <c r="H3999" s="2" t="s">
        <v>65</v>
      </c>
      <c r="I3999" s="2" t="s">
        <v>9882</v>
      </c>
      <c r="J3999" s="3" t="str">
        <f>HYPERLINK("https://www.boe.es/gazeta/dias/1819/08/26/pdfs/GMD-1819-103.pdf#page=6","Abrir facsímil")</f>
        <v>Abrir facsímil</v>
      </c>
      <c r="K3999" s="3" t="s">
        <v>67</v>
      </c>
    </row>
    <row r="4000" spans="1:11" ht="42" customHeight="1">
      <c r="A4000" s="2" t="s">
        <v>9883</v>
      </c>
      <c r="B4000" s="2" t="s">
        <v>9884</v>
      </c>
      <c r="C4000" s="2" t="s">
        <v>59</v>
      </c>
      <c r="D4000" s="2" t="s">
        <v>18</v>
      </c>
      <c r="E4000" s="5">
        <v>-29537</v>
      </c>
      <c r="F4000" s="3" t="s">
        <v>593</v>
      </c>
      <c r="G4000" s="3" t="s">
        <v>456</v>
      </c>
      <c r="H4000" s="2" t="s">
        <v>21</v>
      </c>
      <c r="I4000" s="2" t="s">
        <v>9885</v>
      </c>
      <c r="J4000" s="3" t="str">
        <f>HYPERLINK("https://www.boe.es/gazeta/dias/1819/02/16/pdfs/GMD-1819-20.pdf#page=9","Abrir facsímil")</f>
        <v>Abrir facsímil</v>
      </c>
      <c r="K4000" s="3" t="s">
        <v>23</v>
      </c>
    </row>
    <row r="4001" spans="1:11" ht="42" customHeight="1">
      <c r="A4001" s="2" t="s">
        <v>9886</v>
      </c>
      <c r="B4001" s="2" t="s">
        <v>9887</v>
      </c>
      <c r="C4001" s="2" t="s">
        <v>17</v>
      </c>
      <c r="D4001" s="2" t="s">
        <v>18</v>
      </c>
      <c r="E4001" s="5">
        <v>-29276</v>
      </c>
      <c r="F4001" s="3" t="s">
        <v>54</v>
      </c>
      <c r="G4001" s="3" t="s">
        <v>284</v>
      </c>
      <c r="H4001" s="2" t="s">
        <v>65</v>
      </c>
      <c r="I4001" s="2" t="s">
        <v>9888</v>
      </c>
      <c r="J4001" s="3" t="str">
        <f>HYPERLINK("https://www.boe.es/gazeta/dias/1819/11/04/pdfs/GMD-1819-136.pdf#page=6","Abrir facsímil")</f>
        <v>Abrir facsímil</v>
      </c>
      <c r="K4001" s="3" t="s">
        <v>67</v>
      </c>
    </row>
    <row r="4002" spans="1:11" ht="42" customHeight="1">
      <c r="A4002" s="2" t="s">
        <v>9889</v>
      </c>
      <c r="B4002" s="2" t="s">
        <v>9890</v>
      </c>
      <c r="C4002" s="2" t="s">
        <v>63</v>
      </c>
      <c r="D4002" s="2" t="s">
        <v>43</v>
      </c>
      <c r="E4002" s="5">
        <v>-29225</v>
      </c>
      <c r="F4002" s="3" t="s">
        <v>472</v>
      </c>
      <c r="G4002" s="3" t="s">
        <v>38</v>
      </c>
      <c r="H4002" s="2" t="s">
        <v>21</v>
      </c>
      <c r="I4002" s="2" t="s">
        <v>9891</v>
      </c>
      <c r="J4002" s="3" t="str">
        <f>HYPERLINK("https://www.boe.es/gazeta/dias/1819/12/25/pdfs/GMD-1819-158.pdf#page=5","Abrir facsímil")</f>
        <v>Abrir facsímil</v>
      </c>
      <c r="K4002" s="3" t="s">
        <v>23</v>
      </c>
    </row>
    <row r="4003" spans="1:11" ht="42" customHeight="1">
      <c r="A4003" s="2" t="s">
        <v>9892</v>
      </c>
      <c r="B4003" s="2" t="s">
        <v>9893</v>
      </c>
      <c r="C4003" s="2" t="s">
        <v>17</v>
      </c>
      <c r="D4003" s="2" t="s">
        <v>18</v>
      </c>
      <c r="E4003" s="5">
        <v>-29374</v>
      </c>
      <c r="F4003" s="3" t="s">
        <v>204</v>
      </c>
      <c r="G4003" s="3" t="s">
        <v>28</v>
      </c>
      <c r="H4003" s="2" t="s">
        <v>65</v>
      </c>
      <c r="I4003" s="2" t="s">
        <v>9894</v>
      </c>
      <c r="J4003" s="3" t="str">
        <f>HYPERLINK("https://www.boe.es/gazeta/dias/1819/07/29/pdfs/GMD-1819-91.pdf#page=8","Abrir facsímil")</f>
        <v>Abrir facsímil</v>
      </c>
      <c r="K4003" s="3" t="s">
        <v>67</v>
      </c>
    </row>
    <row r="4004" spans="1:11" ht="42" customHeight="1">
      <c r="A4004" s="2" t="s">
        <v>9895</v>
      </c>
      <c r="B4004" s="2" t="s">
        <v>9896</v>
      </c>
      <c r="C4004" s="2" t="s">
        <v>80</v>
      </c>
      <c r="D4004" s="2" t="s">
        <v>81</v>
      </c>
      <c r="E4004" s="5">
        <v>-29276</v>
      </c>
      <c r="F4004" s="3" t="s">
        <v>54</v>
      </c>
      <c r="G4004" s="3" t="s">
        <v>1107</v>
      </c>
      <c r="H4004" s="2" t="s">
        <v>65</v>
      </c>
      <c r="I4004" s="2" t="s">
        <v>9897</v>
      </c>
      <c r="J4004" s="3" t="str">
        <f>HYPERLINK("https://www.boe.es/gazeta/dias/1819/11/04/pdfs/GMD-1819-136.pdf#page=5","Abrir facsímil")</f>
        <v>Abrir facsímil</v>
      </c>
      <c r="K4004" s="3" t="s">
        <v>67</v>
      </c>
    </row>
    <row r="4005" spans="1:11" ht="42" customHeight="1">
      <c r="A4005" s="2" t="s">
        <v>9898</v>
      </c>
      <c r="B4005" s="2" t="s">
        <v>9899</v>
      </c>
      <c r="C4005" s="2" t="s">
        <v>80</v>
      </c>
      <c r="D4005" s="2" t="s">
        <v>81</v>
      </c>
      <c r="E4005" s="5">
        <v>-29248</v>
      </c>
      <c r="F4005" s="3" t="s">
        <v>395</v>
      </c>
      <c r="G4005" s="3" t="s">
        <v>1179</v>
      </c>
      <c r="H4005" s="2" t="s">
        <v>65</v>
      </c>
      <c r="I4005" s="2" t="s">
        <v>9900</v>
      </c>
      <c r="J4005" s="3" t="str">
        <f>HYPERLINK("https://www.boe.es/gazeta/dias/1819/12/02/pdfs/GMD-1819-148.pdf#page=10","Abrir facsímil")</f>
        <v>Abrir facsímil</v>
      </c>
      <c r="K4005" s="3" t="s">
        <v>67</v>
      </c>
    </row>
    <row r="4006" spans="1:11" ht="42" customHeight="1">
      <c r="A4006" s="2" t="s">
        <v>9901</v>
      </c>
      <c r="B4006" s="2" t="s">
        <v>9902</v>
      </c>
      <c r="C4006" s="2" t="s">
        <v>63</v>
      </c>
      <c r="D4006" s="2" t="s">
        <v>43</v>
      </c>
      <c r="E4006" s="5">
        <v>-29348</v>
      </c>
      <c r="F4006" s="3" t="s">
        <v>227</v>
      </c>
      <c r="G4006" s="3" t="s">
        <v>28</v>
      </c>
      <c r="H4006" s="2" t="s">
        <v>65</v>
      </c>
      <c r="I4006" s="2" t="s">
        <v>9903</v>
      </c>
      <c r="J4006" s="3" t="str">
        <f>HYPERLINK("https://www.boe.es/gazeta/dias/1819/08/24/pdfs/GMD-1819-102.pdf#page=8","Abrir facsímil")</f>
        <v>Abrir facsímil</v>
      </c>
      <c r="K4006" s="3" t="s">
        <v>67</v>
      </c>
    </row>
    <row r="4007" spans="1:11" ht="42" customHeight="1">
      <c r="A4007" s="2" t="s">
        <v>9904</v>
      </c>
      <c r="B4007" s="2" t="s">
        <v>9905</v>
      </c>
      <c r="C4007" s="2" t="s">
        <v>59</v>
      </c>
      <c r="D4007" s="2" t="s">
        <v>18</v>
      </c>
      <c r="E4007" s="5">
        <v>-29276</v>
      </c>
      <c r="F4007" s="3" t="s">
        <v>54</v>
      </c>
      <c r="G4007" s="3" t="s">
        <v>55</v>
      </c>
      <c r="H4007" s="2" t="s">
        <v>65</v>
      </c>
      <c r="I4007" s="2" t="s">
        <v>9906</v>
      </c>
      <c r="J4007" s="3" t="str">
        <f>HYPERLINK("https://www.boe.es/gazeta/dias/1819/11/04/pdfs/GMD-1819-136.pdf#page=7","Abrir facsímil")</f>
        <v>Abrir facsímil</v>
      </c>
      <c r="K4007" s="3" t="s">
        <v>67</v>
      </c>
    </row>
    <row r="4008" spans="1:11" ht="42" customHeight="1">
      <c r="A4008" s="2" t="s">
        <v>9907</v>
      </c>
      <c r="B4008" s="2" t="s">
        <v>9908</v>
      </c>
      <c r="C4008" s="2" t="s">
        <v>59</v>
      </c>
      <c r="D4008" s="2" t="s">
        <v>18</v>
      </c>
      <c r="E4008" s="5">
        <v>-29512</v>
      </c>
      <c r="F4008" s="3" t="s">
        <v>741</v>
      </c>
      <c r="G4008" s="3" t="s">
        <v>28</v>
      </c>
      <c r="H4008" s="2" t="s">
        <v>65</v>
      </c>
      <c r="I4008" s="2" t="s">
        <v>9909</v>
      </c>
      <c r="J4008" s="3" t="str">
        <f>HYPERLINK("https://www.boe.es/gazeta/dias/1819/03/13/pdfs/GMD-1819-31.pdf#page=8","Abrir facsímil")</f>
        <v>Abrir facsímil</v>
      </c>
      <c r="K4008" s="3" t="s">
        <v>67</v>
      </c>
    </row>
    <row r="4009" spans="1:11" ht="42" customHeight="1">
      <c r="A4009" s="2" t="s">
        <v>9907</v>
      </c>
      <c r="B4009" s="2" t="s">
        <v>9908</v>
      </c>
      <c r="C4009" s="2" t="s">
        <v>26</v>
      </c>
      <c r="D4009" s="2" t="s">
        <v>18</v>
      </c>
      <c r="E4009" s="5">
        <v>-29498</v>
      </c>
      <c r="F4009" s="3" t="s">
        <v>119</v>
      </c>
      <c r="G4009" s="3" t="s">
        <v>6242</v>
      </c>
      <c r="H4009" s="2" t="s">
        <v>65</v>
      </c>
      <c r="I4009" s="2" t="s">
        <v>9910</v>
      </c>
      <c r="J4009" s="3" t="str">
        <f>HYPERLINK("https://www.boe.es/gazeta/dias/1819/03/27/pdfs/GMD-1819-37.pdf#page=7","Abrir facsímil")</f>
        <v>Abrir facsímil</v>
      </c>
      <c r="K4009" s="3" t="s">
        <v>67</v>
      </c>
    </row>
    <row r="4010" spans="1:11" ht="42" customHeight="1">
      <c r="A4010" s="2" t="s">
        <v>9907</v>
      </c>
      <c r="B4010" s="2" t="s">
        <v>9908</v>
      </c>
      <c r="C4010" s="2" t="s">
        <v>17</v>
      </c>
      <c r="D4010" s="2" t="s">
        <v>18</v>
      </c>
      <c r="E4010" s="5">
        <v>-29386</v>
      </c>
      <c r="F4010" s="3" t="s">
        <v>568</v>
      </c>
      <c r="G4010" s="3" t="s">
        <v>28</v>
      </c>
      <c r="H4010" s="2" t="s">
        <v>65</v>
      </c>
      <c r="I4010" s="2" t="s">
        <v>9911</v>
      </c>
      <c r="J4010" s="3" t="str">
        <f>HYPERLINK("https://www.boe.es/gazeta/dias/1819/07/17/pdfs/GMD-1819-86.pdf#page=8","Abrir facsímil")</f>
        <v>Abrir facsímil</v>
      </c>
      <c r="K4010" s="3" t="s">
        <v>67</v>
      </c>
    </row>
    <row r="4011" spans="1:11" ht="42" customHeight="1">
      <c r="A4011" s="2" t="s">
        <v>9907</v>
      </c>
      <c r="B4011" s="2" t="s">
        <v>9908</v>
      </c>
      <c r="C4011" s="2" t="s">
        <v>63</v>
      </c>
      <c r="D4011" s="2" t="s">
        <v>43</v>
      </c>
      <c r="E4011" s="5">
        <v>-29379</v>
      </c>
      <c r="F4011" s="3" t="s">
        <v>161</v>
      </c>
      <c r="G4011" s="3" t="s">
        <v>28</v>
      </c>
      <c r="H4011" s="2" t="s">
        <v>65</v>
      </c>
      <c r="I4011" s="2" t="s">
        <v>9912</v>
      </c>
      <c r="J4011" s="3" t="str">
        <f>HYPERLINK("https://www.boe.es/gazeta/dias/1819/07/24/pdfs/GMD-1819-89.pdf#page=8","Abrir facsímil")</f>
        <v>Abrir facsímil</v>
      </c>
      <c r="K4011" s="3" t="s">
        <v>67</v>
      </c>
    </row>
    <row r="4012" spans="1:11" ht="42" customHeight="1">
      <c r="A4012" s="2" t="s">
        <v>9913</v>
      </c>
      <c r="B4012" s="2" t="s">
        <v>9914</v>
      </c>
      <c r="C4012" s="2" t="s">
        <v>80</v>
      </c>
      <c r="D4012" s="2" t="s">
        <v>81</v>
      </c>
      <c r="E4012" s="5">
        <v>-29575</v>
      </c>
      <c r="F4012" s="3" t="s">
        <v>77</v>
      </c>
      <c r="G4012" s="3" t="s">
        <v>55</v>
      </c>
      <c r="H4012" s="2" t="s">
        <v>21</v>
      </c>
      <c r="I4012" s="2" t="s">
        <v>9915</v>
      </c>
      <c r="J4012" s="3" t="str">
        <f>HYPERLINK("https://www.boe.es/gazeta/dias/1819/01/09/pdfs/GMD-1819-4.pdf#page=7","Abrir facsímil")</f>
        <v>Abrir facsímil</v>
      </c>
      <c r="K4012" s="3" t="s">
        <v>23</v>
      </c>
    </row>
    <row r="4013" spans="1:11" ht="42" customHeight="1">
      <c r="A4013" s="2" t="s">
        <v>9916</v>
      </c>
      <c r="B4013" s="2" t="s">
        <v>9917</v>
      </c>
      <c r="C4013" s="2" t="s">
        <v>26</v>
      </c>
      <c r="D4013" s="2" t="s">
        <v>18</v>
      </c>
      <c r="E4013" s="5">
        <v>-29260</v>
      </c>
      <c r="F4013" s="3" t="s">
        <v>93</v>
      </c>
      <c r="G4013" s="3" t="s">
        <v>33</v>
      </c>
      <c r="H4013" s="2" t="s">
        <v>21</v>
      </c>
      <c r="I4013" s="2" t="s">
        <v>9918</v>
      </c>
      <c r="J4013" s="3" t="str">
        <f>HYPERLINK("https://www.boe.es/gazeta/dias/1819/11/20/pdfs/GMD-1819-143.pdf#page=6","Abrir facsímil")</f>
        <v>Abrir facsímil</v>
      </c>
      <c r="K4013" s="3" t="s">
        <v>23</v>
      </c>
    </row>
    <row r="4014" spans="1:11" ht="42" customHeight="1">
      <c r="A4014" s="2" t="s">
        <v>9919</v>
      </c>
      <c r="B4014" s="2" t="s">
        <v>9920</v>
      </c>
      <c r="C4014" s="2" t="s">
        <v>17</v>
      </c>
      <c r="D4014" s="2" t="s">
        <v>18</v>
      </c>
      <c r="E4014" s="5">
        <v>-29271</v>
      </c>
      <c r="F4014" s="3" t="s">
        <v>32</v>
      </c>
      <c r="G4014" s="3" t="s">
        <v>33</v>
      </c>
      <c r="H4014" s="2" t="s">
        <v>21</v>
      </c>
      <c r="I4014" s="2" t="s">
        <v>9921</v>
      </c>
      <c r="J4014" s="3" t="str">
        <f>HYPERLINK("https://www.boe.es/gazeta/dias/1819/11/09/pdfs/GMD-1819-138.pdf#page=6","Abrir facsímil")</f>
        <v>Abrir facsímil</v>
      </c>
      <c r="K4014" s="3" t="s">
        <v>23</v>
      </c>
    </row>
    <row r="4015" spans="1:11" ht="42" customHeight="1">
      <c r="A4015" s="2" t="s">
        <v>9922</v>
      </c>
      <c r="B4015" s="2" t="s">
        <v>9923</v>
      </c>
      <c r="C4015" s="2" t="s">
        <v>17</v>
      </c>
      <c r="D4015" s="2" t="s">
        <v>18</v>
      </c>
      <c r="E4015" s="5">
        <v>-29271</v>
      </c>
      <c r="F4015" s="3" t="s">
        <v>32</v>
      </c>
      <c r="G4015" s="3" t="s">
        <v>33</v>
      </c>
      <c r="H4015" s="2" t="s">
        <v>21</v>
      </c>
      <c r="I4015" s="2" t="s">
        <v>9924</v>
      </c>
      <c r="J4015" s="3" t="str">
        <f>HYPERLINK("https://www.boe.es/gazeta/dias/1819/11/09/pdfs/GMD-1819-138.pdf#page=6","Abrir facsímil")</f>
        <v>Abrir facsímil</v>
      </c>
      <c r="K4015" s="3" t="s">
        <v>23</v>
      </c>
    </row>
    <row r="4016" spans="1:11" ht="42" customHeight="1">
      <c r="A4016" s="2" t="s">
        <v>9925</v>
      </c>
      <c r="B4016" s="2" t="s">
        <v>9926</v>
      </c>
      <c r="C4016" s="2" t="s">
        <v>17</v>
      </c>
      <c r="D4016" s="2" t="s">
        <v>18</v>
      </c>
      <c r="E4016" s="5">
        <v>-29281</v>
      </c>
      <c r="F4016" s="3" t="s">
        <v>19</v>
      </c>
      <c r="G4016" s="3" t="s">
        <v>20</v>
      </c>
      <c r="H4016" s="2" t="s">
        <v>21</v>
      </c>
      <c r="I4016" s="2" t="s">
        <v>9927</v>
      </c>
      <c r="J4016" s="3" t="str">
        <f>HYPERLINK("https://www.boe.es/gazeta/dias/1819/10/30/pdfs/GMD-1819-134.pdf#page=10","Abrir facsímil")</f>
        <v>Abrir facsímil</v>
      </c>
      <c r="K4016" s="3" t="s">
        <v>23</v>
      </c>
    </row>
    <row r="4017" spans="1:11" ht="42" customHeight="1">
      <c r="A4017" s="2" t="s">
        <v>9928</v>
      </c>
      <c r="B4017" s="2" t="s">
        <v>9929</v>
      </c>
      <c r="C4017" s="2" t="s">
        <v>63</v>
      </c>
      <c r="D4017" s="2" t="s">
        <v>43</v>
      </c>
      <c r="E4017" s="5">
        <v>-29551</v>
      </c>
      <c r="F4017" s="3" t="s">
        <v>2173</v>
      </c>
      <c r="G4017" s="3" t="s">
        <v>28</v>
      </c>
      <c r="H4017" s="2" t="s">
        <v>65</v>
      </c>
      <c r="I4017" s="2" t="s">
        <v>9930</v>
      </c>
      <c r="J4017" s="3" t="str">
        <f>HYPERLINK("https://www.boe.es/gazeta/dias/1819/02/02/pdfs/GMD-1819-14.pdf#page=8","Abrir facsímil")</f>
        <v>Abrir facsímil</v>
      </c>
      <c r="K4017" s="3" t="s">
        <v>67</v>
      </c>
    </row>
    <row r="4018" spans="1:11" ht="42" customHeight="1">
      <c r="A4018" s="2" t="s">
        <v>9931</v>
      </c>
      <c r="B4018" s="2" t="s">
        <v>9932</v>
      </c>
      <c r="C4018" s="2" t="s">
        <v>17</v>
      </c>
      <c r="D4018" s="2" t="s">
        <v>18</v>
      </c>
      <c r="E4018" s="5">
        <v>-29260</v>
      </c>
      <c r="F4018" s="3" t="s">
        <v>93</v>
      </c>
      <c r="G4018" s="3" t="s">
        <v>33</v>
      </c>
      <c r="H4018" s="2" t="s">
        <v>65</v>
      </c>
      <c r="I4018" s="2" t="s">
        <v>9933</v>
      </c>
      <c r="J4018" s="3" t="str">
        <f>HYPERLINK("https://www.boe.es/gazeta/dias/1819/11/20/pdfs/GMD-1819-143.pdf#page=6","Abrir facsímil")</f>
        <v>Abrir facsímil</v>
      </c>
      <c r="K4018" s="3" t="s">
        <v>67</v>
      </c>
    </row>
    <row r="4019" spans="1:11" ht="42" customHeight="1">
      <c r="A4019" s="2" t="s">
        <v>9934</v>
      </c>
      <c r="B4019" s="2" t="s">
        <v>9935</v>
      </c>
      <c r="C4019" s="2" t="s">
        <v>26</v>
      </c>
      <c r="D4019" s="2" t="s">
        <v>18</v>
      </c>
      <c r="E4019" s="5">
        <v>-29533</v>
      </c>
      <c r="F4019" s="3" t="s">
        <v>280</v>
      </c>
      <c r="G4019" s="3" t="s">
        <v>28</v>
      </c>
      <c r="H4019" s="2" t="s">
        <v>21</v>
      </c>
      <c r="I4019" s="2" t="s">
        <v>9936</v>
      </c>
      <c r="J4019" s="3" t="str">
        <f>HYPERLINK("https://www.boe.es/gazeta/dias/1819/02/20/pdfs/GMD-1819-22.pdf#page=8","Abrir facsímil")</f>
        <v>Abrir facsímil</v>
      </c>
      <c r="K4019" s="3" t="s">
        <v>23</v>
      </c>
    </row>
    <row r="4020" spans="1:11" ht="42" customHeight="1">
      <c r="A4020" s="2" t="s">
        <v>9937</v>
      </c>
      <c r="B4020" s="2" t="s">
        <v>9938</v>
      </c>
      <c r="C4020" s="2" t="s">
        <v>59</v>
      </c>
      <c r="D4020" s="2" t="s">
        <v>18</v>
      </c>
      <c r="E4020" s="5">
        <v>-29516</v>
      </c>
      <c r="F4020" s="3" t="s">
        <v>137</v>
      </c>
      <c r="G4020" s="3" t="s">
        <v>94</v>
      </c>
      <c r="H4020" s="2" t="s">
        <v>65</v>
      </c>
      <c r="I4020" s="2" t="s">
        <v>9939</v>
      </c>
      <c r="J4020" s="3" t="str">
        <f>HYPERLINK("https://www.boe.es/gazeta/dias/1819/03/09/pdfs/GMD-1819-29.pdf#page=11","Abrir facsímil")</f>
        <v>Abrir facsímil</v>
      </c>
      <c r="K4020" s="3" t="s">
        <v>67</v>
      </c>
    </row>
    <row r="4021" spans="1:11" ht="42" customHeight="1">
      <c r="A4021" s="2" t="s">
        <v>9940</v>
      </c>
      <c r="B4021" s="2" t="s">
        <v>9941</v>
      </c>
      <c r="C4021" s="2" t="s">
        <v>80</v>
      </c>
      <c r="D4021" s="2" t="s">
        <v>81</v>
      </c>
      <c r="E4021" s="5">
        <v>-29316</v>
      </c>
      <c r="F4021" s="3" t="s">
        <v>166</v>
      </c>
      <c r="G4021" s="3" t="s">
        <v>138</v>
      </c>
      <c r="H4021" s="2" t="s">
        <v>65</v>
      </c>
      <c r="I4021" s="2" t="s">
        <v>9942</v>
      </c>
      <c r="J4021" s="3" t="str">
        <f>HYPERLINK("https://www.boe.es/gazeta/dias/1819/09/25/pdfs/GMD-1819-118.pdf#page=12","Abrir facsímil")</f>
        <v>Abrir facsímil</v>
      </c>
      <c r="K4021" s="3" t="s">
        <v>67</v>
      </c>
    </row>
    <row r="4022" spans="1:11" ht="42" customHeight="1">
      <c r="A4022" s="2" t="s">
        <v>9940</v>
      </c>
      <c r="B4022" s="2" t="s">
        <v>9941</v>
      </c>
      <c r="C4022" s="2" t="s">
        <v>63</v>
      </c>
      <c r="D4022" s="2" t="s">
        <v>43</v>
      </c>
      <c r="E4022" s="5">
        <v>-29239</v>
      </c>
      <c r="F4022" s="3" t="s">
        <v>724</v>
      </c>
      <c r="G4022" s="3" t="s">
        <v>28</v>
      </c>
      <c r="H4022" s="2" t="s">
        <v>65</v>
      </c>
      <c r="I4022" s="2" t="s">
        <v>9943</v>
      </c>
      <c r="J4022" s="3" t="str">
        <f>HYPERLINK("https://www.boe.es/gazeta/dias/1819/12/11/pdfs/GMD-1819-152.pdf#page=8","Abrir facsímil")</f>
        <v>Abrir facsímil</v>
      </c>
      <c r="K4022" s="3" t="s">
        <v>67</v>
      </c>
    </row>
    <row r="4023" spans="1:11" ht="42" customHeight="1">
      <c r="A4023" s="2" t="s">
        <v>9944</v>
      </c>
      <c r="B4023" s="2" t="s">
        <v>9945</v>
      </c>
      <c r="C4023" s="2" t="s">
        <v>63</v>
      </c>
      <c r="D4023" s="2" t="s">
        <v>43</v>
      </c>
      <c r="E4023" s="5">
        <v>-29348</v>
      </c>
      <c r="F4023" s="3" t="s">
        <v>227</v>
      </c>
      <c r="G4023" s="3" t="s">
        <v>28</v>
      </c>
      <c r="H4023" s="2" t="s">
        <v>65</v>
      </c>
      <c r="I4023" s="2" t="s">
        <v>9946</v>
      </c>
      <c r="J4023" s="3" t="str">
        <f>HYPERLINK("https://www.boe.es/gazeta/dias/1819/08/24/pdfs/GMD-1819-102.pdf#page=8","Abrir facsímil")</f>
        <v>Abrir facsímil</v>
      </c>
      <c r="K4023" s="3" t="s">
        <v>67</v>
      </c>
    </row>
    <row r="4024" spans="1:11" ht="42" customHeight="1">
      <c r="A4024" s="2" t="s">
        <v>9947</v>
      </c>
      <c r="B4024" s="2" t="s">
        <v>9948</v>
      </c>
      <c r="C4024" s="2" t="s">
        <v>59</v>
      </c>
      <c r="D4024" s="2" t="s">
        <v>18</v>
      </c>
      <c r="E4024" s="5">
        <v>-29288</v>
      </c>
      <c r="F4024" s="3" t="s">
        <v>334</v>
      </c>
      <c r="G4024" s="3" t="s">
        <v>2162</v>
      </c>
      <c r="H4024" s="2" t="s">
        <v>65</v>
      </c>
      <c r="I4024" s="2" t="s">
        <v>9949</v>
      </c>
      <c r="J4024" s="3" t="str">
        <f>HYPERLINK("https://www.boe.es/gazeta/dias/1819/10/23/pdfs/GMD-1819-130.pdf#page=7","Abrir facsímil")</f>
        <v>Abrir facsímil</v>
      </c>
      <c r="K4024" s="3" t="s">
        <v>67</v>
      </c>
    </row>
    <row r="4025" spans="1:11" ht="42" customHeight="1">
      <c r="A4025" s="2" t="s">
        <v>9950</v>
      </c>
      <c r="B4025" s="2" t="s">
        <v>9951</v>
      </c>
      <c r="C4025" s="2" t="s">
        <v>63</v>
      </c>
      <c r="D4025" s="2" t="s">
        <v>43</v>
      </c>
      <c r="E4025" s="5">
        <v>-29367</v>
      </c>
      <c r="F4025" s="3" t="s">
        <v>571</v>
      </c>
      <c r="G4025" s="3" t="s">
        <v>28</v>
      </c>
      <c r="H4025" s="2" t="s">
        <v>65</v>
      </c>
      <c r="I4025" s="2" t="s">
        <v>9952</v>
      </c>
      <c r="J4025" s="3" t="str">
        <f>HYPERLINK("https://www.boe.es/gazeta/dias/1819/08/05/pdfs/GMD-1819-94.pdf#page=8","Abrir facsímil")</f>
        <v>Abrir facsímil</v>
      </c>
      <c r="K4025" s="3" t="s">
        <v>67</v>
      </c>
    </row>
    <row r="4026" spans="1:11" ht="42" customHeight="1">
      <c r="A4026" s="2" t="s">
        <v>9953</v>
      </c>
      <c r="B4026" s="2" t="s">
        <v>9954</v>
      </c>
      <c r="C4026" s="2" t="s">
        <v>63</v>
      </c>
      <c r="D4026" s="2" t="s">
        <v>43</v>
      </c>
      <c r="E4026" s="5">
        <v>-29367</v>
      </c>
      <c r="F4026" s="3" t="s">
        <v>571</v>
      </c>
      <c r="G4026" s="3" t="s">
        <v>28</v>
      </c>
      <c r="H4026" s="2" t="s">
        <v>21</v>
      </c>
      <c r="I4026" s="2" t="s">
        <v>9955</v>
      </c>
      <c r="J4026" s="3" t="str">
        <f>HYPERLINK("https://www.boe.es/gazeta/dias/1819/08/05/pdfs/GMD-1819-94.pdf#page=8","Abrir facsímil")</f>
        <v>Abrir facsímil</v>
      </c>
      <c r="K4026" s="3" t="s">
        <v>23</v>
      </c>
    </row>
    <row r="4027" spans="1:11" ht="42" customHeight="1">
      <c r="A4027" s="2" t="s">
        <v>9956</v>
      </c>
      <c r="B4027" s="2" t="s">
        <v>9957</v>
      </c>
      <c r="C4027" s="2" t="s">
        <v>59</v>
      </c>
      <c r="D4027" s="2" t="s">
        <v>18</v>
      </c>
      <c r="E4027" s="5">
        <v>-29449</v>
      </c>
      <c r="F4027" s="3" t="s">
        <v>771</v>
      </c>
      <c r="G4027" s="3" t="s">
        <v>55</v>
      </c>
      <c r="H4027" s="2" t="s">
        <v>65</v>
      </c>
      <c r="I4027" s="2" t="s">
        <v>9958</v>
      </c>
      <c r="J4027" s="3" t="str">
        <f>HYPERLINK("https://www.boe.es/gazeta/dias/1819/05/15/pdfs/GMD-1819-58.pdf#page=7","Abrir facsímil")</f>
        <v>Abrir facsímil</v>
      </c>
      <c r="K4027" s="3" t="s">
        <v>67</v>
      </c>
    </row>
    <row r="4028" spans="1:11" ht="42" customHeight="1">
      <c r="A4028" s="2" t="s">
        <v>9959</v>
      </c>
      <c r="B4028" s="2" t="s">
        <v>9960</v>
      </c>
      <c r="C4028" s="2" t="s">
        <v>80</v>
      </c>
      <c r="D4028" s="2" t="s">
        <v>81</v>
      </c>
      <c r="E4028" s="5">
        <v>-29505</v>
      </c>
      <c r="F4028" s="3" t="s">
        <v>597</v>
      </c>
      <c r="G4028" s="3" t="s">
        <v>28</v>
      </c>
      <c r="H4028" s="2" t="s">
        <v>65</v>
      </c>
      <c r="I4028" s="2" t="s">
        <v>9961</v>
      </c>
      <c r="J4028" s="3" t="str">
        <f>HYPERLINK("https://www.boe.es/gazeta/dias/1819/03/20/pdfs/GMD-1819-34.pdf#page=8","Abrir facsímil")</f>
        <v>Abrir facsímil</v>
      </c>
      <c r="K4028" s="3" t="s">
        <v>67</v>
      </c>
    </row>
    <row r="4029" spans="1:11" ht="42" customHeight="1"/>
    <row r="4030" spans="1:11" ht="42" customHeight="1"/>
    <row r="4031" spans="1:11" ht="42" customHeight="1"/>
    <row r="4032" spans="1:11" ht="42" customHeight="1"/>
    <row r="4033" ht="42" customHeight="1"/>
    <row r="4034" ht="42" customHeight="1"/>
    <row r="4035" ht="42" customHeight="1"/>
    <row r="4036" ht="42" customHeight="1"/>
    <row r="4037" ht="42" customHeight="1"/>
    <row r="4038" ht="42" customHeight="1"/>
    <row r="4039" ht="42" customHeight="1"/>
    <row r="4040" ht="42" customHeight="1"/>
    <row r="4041" ht="42" customHeight="1"/>
    <row r="4042" ht="42" customHeight="1"/>
    <row r="4043" ht="42" customHeight="1"/>
    <row r="4044" ht="42" customHeight="1"/>
    <row r="4045" ht="42" customHeight="1"/>
    <row r="4046" ht="42" customHeight="1"/>
    <row r="4047" ht="42" customHeight="1"/>
    <row r="4048" ht="42" customHeight="1"/>
    <row r="4049" ht="42" customHeight="1"/>
    <row r="4050" ht="42" customHeight="1"/>
    <row r="4051" ht="42" customHeight="1"/>
    <row r="4052" ht="42" customHeight="1"/>
    <row r="4053" ht="42" customHeight="1"/>
    <row r="4054" ht="42" customHeight="1"/>
    <row r="4055" ht="42" customHeight="1"/>
    <row r="4056" ht="42" customHeight="1"/>
    <row r="4057" ht="42" customHeight="1"/>
    <row r="4058" ht="42" customHeight="1"/>
    <row r="4059" ht="42" customHeight="1"/>
    <row r="4060" ht="42" customHeight="1"/>
    <row r="4061" ht="42" customHeight="1"/>
    <row r="4062" ht="42" customHeight="1"/>
    <row r="4063" ht="42" customHeight="1"/>
    <row r="4064" ht="42" customHeight="1"/>
    <row r="4065" ht="42" customHeight="1"/>
    <row r="4066" ht="42" customHeight="1"/>
    <row r="4067" ht="42" customHeight="1"/>
    <row r="4068" ht="42" customHeight="1"/>
    <row r="4069" ht="42" customHeight="1"/>
    <row r="4070" ht="42" customHeight="1"/>
    <row r="4071" ht="42" customHeight="1"/>
    <row r="4072" ht="42" customHeight="1"/>
    <row r="4073" ht="42" customHeight="1"/>
    <row r="4074" ht="42" customHeight="1"/>
    <row r="4075" ht="42" customHeight="1"/>
    <row r="4076" ht="42" customHeight="1"/>
    <row r="4077" ht="42" customHeight="1"/>
    <row r="4078" ht="42" customHeight="1"/>
    <row r="4079" ht="42" customHeight="1"/>
    <row r="4080" ht="42" customHeight="1"/>
    <row r="4081" ht="42" customHeight="1"/>
    <row r="4082" ht="42" customHeight="1"/>
    <row r="4083" ht="42" customHeight="1"/>
    <row r="4084" ht="42" customHeight="1"/>
    <row r="4085" ht="42" customHeight="1"/>
    <row r="4086" ht="42" customHeight="1"/>
    <row r="4087" ht="42" customHeight="1"/>
    <row r="4088" ht="42" customHeight="1"/>
    <row r="4089" ht="42" customHeight="1"/>
    <row r="4090" ht="42" customHeight="1"/>
    <row r="4091" ht="42" customHeight="1"/>
    <row r="4092" ht="42" customHeight="1"/>
    <row r="4093" ht="42" customHeight="1"/>
    <row r="4094" ht="42" customHeight="1"/>
    <row r="4095" ht="42" customHeight="1"/>
    <row r="4096" ht="42" customHeight="1"/>
    <row r="4097" ht="42" customHeight="1"/>
    <row r="4098" ht="42" customHeight="1"/>
    <row r="4099" ht="42" customHeight="1"/>
    <row r="4100" ht="42" customHeight="1"/>
    <row r="4101" ht="42" customHeight="1"/>
    <row r="4102" ht="42" customHeight="1"/>
    <row r="4103" ht="42" customHeight="1"/>
    <row r="4104" ht="42" customHeight="1"/>
    <row r="4105" ht="42" customHeight="1"/>
    <row r="4106" ht="42" customHeight="1"/>
    <row r="4107" ht="42" customHeight="1"/>
    <row r="4108" ht="42" customHeight="1"/>
    <row r="4109" ht="42" customHeight="1"/>
    <row r="4110" ht="42" customHeight="1"/>
    <row r="4111" ht="42" customHeight="1"/>
    <row r="4112" ht="42" customHeight="1"/>
    <row r="4113" ht="42" customHeight="1"/>
    <row r="4114" ht="42" customHeight="1"/>
    <row r="4115" ht="42" customHeight="1"/>
    <row r="4116" ht="42" customHeight="1"/>
    <row r="4117" ht="42" customHeight="1"/>
    <row r="4118" ht="42" customHeight="1"/>
    <row r="4119" ht="42" customHeight="1"/>
    <row r="4120" ht="42" customHeight="1"/>
    <row r="4121" ht="42" customHeight="1"/>
    <row r="4122" ht="42" customHeight="1"/>
    <row r="4123" ht="42" customHeight="1"/>
    <row r="4124" ht="42" customHeight="1"/>
    <row r="4125" ht="42" customHeight="1"/>
    <row r="4126" ht="42" customHeight="1"/>
    <row r="4127" ht="42" customHeight="1"/>
    <row r="4128" ht="42" customHeight="1"/>
    <row r="4129" ht="42" customHeight="1"/>
    <row r="4130" ht="42" customHeight="1"/>
    <row r="4131" ht="42" customHeight="1"/>
    <row r="4132" ht="42" customHeight="1"/>
    <row r="4133" ht="42" customHeight="1"/>
    <row r="4134" ht="42" customHeight="1"/>
    <row r="4135" ht="42" customHeight="1"/>
    <row r="4136" ht="42" customHeight="1"/>
    <row r="4137" ht="42" customHeight="1"/>
    <row r="4138" ht="42" customHeight="1"/>
    <row r="4139" ht="42" customHeight="1"/>
    <row r="4140" ht="42" customHeight="1"/>
    <row r="4141" ht="42" customHeight="1"/>
    <row r="4142" ht="42" customHeight="1"/>
    <row r="4143" ht="42" customHeight="1"/>
    <row r="4144" ht="42" customHeight="1"/>
    <row r="4145" ht="42" customHeight="1"/>
    <row r="4146" ht="42" customHeight="1"/>
    <row r="4147" ht="42" customHeight="1"/>
    <row r="4148" ht="42" customHeight="1"/>
    <row r="4149" ht="42" customHeight="1"/>
    <row r="4150" ht="42" customHeight="1"/>
    <row r="4151" ht="42" customHeight="1"/>
    <row r="4152" ht="42" customHeight="1"/>
    <row r="4153" ht="42" customHeight="1"/>
    <row r="4154" ht="42" customHeight="1"/>
    <row r="4155" ht="42" customHeight="1"/>
    <row r="4156" ht="42" customHeight="1"/>
    <row r="4157" ht="42" customHeight="1"/>
    <row r="4158" ht="42" customHeight="1"/>
    <row r="4159" ht="42" customHeight="1"/>
    <row r="4160" ht="42" customHeight="1"/>
    <row r="4161" ht="42" customHeight="1"/>
    <row r="4162" ht="42" customHeight="1"/>
    <row r="4163" ht="42" customHeight="1"/>
    <row r="4164" ht="42" customHeight="1"/>
    <row r="4165" ht="42" customHeight="1"/>
    <row r="4166" ht="42" customHeight="1"/>
    <row r="4167" ht="42" customHeight="1"/>
    <row r="4168" ht="42" customHeight="1"/>
    <row r="4169" ht="42" customHeight="1"/>
    <row r="4170" ht="42" customHeight="1"/>
    <row r="4171" ht="42" customHeight="1"/>
    <row r="4172" ht="42" customHeight="1"/>
    <row r="4173" ht="42" customHeight="1"/>
    <row r="4174" ht="42" customHeight="1"/>
    <row r="4175" ht="42" customHeight="1"/>
    <row r="4176" ht="42" customHeight="1"/>
    <row r="4177" ht="42" customHeight="1"/>
    <row r="4178" ht="42" customHeight="1"/>
    <row r="4179" ht="42" customHeight="1"/>
    <row r="4180" ht="42" customHeight="1"/>
    <row r="4181" ht="42" customHeight="1"/>
    <row r="4182" ht="42" customHeight="1"/>
    <row r="4183" ht="42" customHeight="1"/>
    <row r="4184" ht="42" customHeight="1"/>
    <row r="4185" ht="42" customHeight="1"/>
    <row r="4186" ht="42" customHeight="1"/>
    <row r="4187" ht="42" customHeight="1"/>
    <row r="4188" ht="42" customHeight="1"/>
    <row r="4189" ht="42" customHeight="1"/>
    <row r="4190" ht="42" customHeight="1"/>
    <row r="4191" ht="42" customHeight="1"/>
    <row r="4192" ht="42" customHeight="1"/>
    <row r="4193" ht="42" customHeight="1"/>
    <row r="4194" ht="42" customHeight="1"/>
    <row r="4195" ht="42" customHeight="1"/>
    <row r="4196" ht="42" customHeight="1"/>
    <row r="4197" ht="42" customHeight="1"/>
    <row r="4198" ht="42" customHeight="1"/>
    <row r="4199" ht="42" customHeight="1"/>
    <row r="4200" ht="42" customHeight="1"/>
    <row r="4201" ht="42" customHeight="1"/>
    <row r="4202" ht="42" customHeight="1"/>
    <row r="4203" ht="42" customHeight="1"/>
    <row r="4204" ht="42" customHeight="1"/>
    <row r="4205" ht="42" customHeight="1"/>
    <row r="4206" ht="42" customHeight="1"/>
    <row r="4207" ht="42" customHeight="1"/>
    <row r="4208" ht="42" customHeight="1"/>
    <row r="4209" ht="42" customHeight="1"/>
    <row r="4210" ht="42" customHeight="1"/>
    <row r="4211" ht="42" customHeight="1"/>
    <row r="4212" ht="42" customHeight="1"/>
    <row r="4213" ht="42" customHeight="1"/>
    <row r="4214" ht="42" customHeight="1"/>
    <row r="4215" ht="42" customHeight="1"/>
    <row r="4216" ht="42" customHeight="1"/>
    <row r="4217" ht="42" customHeight="1"/>
    <row r="4218" ht="42" customHeight="1"/>
    <row r="4219" ht="42" customHeight="1"/>
    <row r="4220" ht="42" customHeight="1"/>
    <row r="4221" ht="42" customHeight="1"/>
    <row r="4222" ht="42" customHeight="1"/>
    <row r="4223" ht="42" customHeight="1"/>
    <row r="4224" ht="42" customHeight="1"/>
    <row r="4225" ht="42" customHeight="1"/>
    <row r="4226" ht="42" customHeight="1"/>
    <row r="4227" ht="42" customHeight="1"/>
    <row r="4228" ht="42" customHeight="1"/>
    <row r="4229" ht="42" customHeight="1"/>
    <row r="4230" ht="42" customHeight="1"/>
    <row r="4231" ht="42" customHeight="1"/>
    <row r="4232" ht="42" customHeight="1"/>
    <row r="4233" ht="42" customHeight="1"/>
    <row r="4234" ht="42" customHeight="1"/>
    <row r="4235" ht="42" customHeight="1"/>
    <row r="4236" ht="42" customHeight="1"/>
    <row r="4237" ht="42" customHeight="1"/>
    <row r="4238" ht="42" customHeight="1"/>
    <row r="4239" ht="42" customHeight="1"/>
    <row r="4240" ht="42" customHeight="1"/>
    <row r="4241" ht="42" customHeight="1"/>
    <row r="4242" ht="42" customHeight="1"/>
    <row r="4243" ht="42" customHeight="1"/>
    <row r="4244" ht="42" customHeight="1"/>
    <row r="4245" ht="42" customHeight="1"/>
    <row r="4246" ht="42" customHeight="1"/>
    <row r="4247" ht="42" customHeight="1"/>
    <row r="4248" ht="42" customHeight="1"/>
    <row r="4249" ht="42" customHeight="1"/>
    <row r="4250" ht="42" customHeight="1"/>
    <row r="4251" ht="42" customHeight="1"/>
    <row r="4252" ht="42" customHeight="1"/>
    <row r="4253" ht="42" customHeight="1"/>
    <row r="4254" ht="42" customHeight="1"/>
    <row r="4255" ht="42" customHeight="1"/>
    <row r="4256" ht="42" customHeight="1"/>
    <row r="4257" ht="42" customHeight="1"/>
    <row r="4258" ht="42" customHeight="1"/>
    <row r="4259" ht="42" customHeight="1"/>
    <row r="4260" ht="42" customHeight="1"/>
    <row r="4261" ht="42" customHeight="1"/>
    <row r="4262" ht="42" customHeight="1"/>
    <row r="4263" ht="42" customHeight="1"/>
    <row r="4264" ht="42" customHeight="1"/>
    <row r="4265" ht="42" customHeight="1"/>
    <row r="4266" ht="42" customHeight="1"/>
    <row r="4267" ht="42" customHeight="1"/>
    <row r="4268" ht="42" customHeight="1"/>
    <row r="4269" ht="42" customHeight="1"/>
    <row r="4270" ht="42" customHeight="1"/>
    <row r="4271" ht="42" customHeight="1"/>
    <row r="4272" ht="42" customHeight="1"/>
    <row r="4273" ht="42" customHeight="1"/>
    <row r="4274" ht="42" customHeight="1"/>
    <row r="4275" ht="42" customHeight="1"/>
    <row r="4276" ht="42" customHeight="1"/>
    <row r="4277" ht="42" customHeight="1"/>
    <row r="4278" ht="42" customHeight="1"/>
    <row r="4279" ht="42" customHeight="1"/>
    <row r="4280" ht="42" customHeight="1"/>
    <row r="4281" ht="42" customHeight="1"/>
    <row r="4282" ht="42" customHeight="1"/>
    <row r="4283" ht="42" customHeight="1"/>
    <row r="4284" ht="42" customHeight="1"/>
    <row r="4285" ht="42" customHeight="1"/>
    <row r="4286" ht="42" customHeight="1"/>
    <row r="4287" ht="42" customHeight="1"/>
    <row r="4288" ht="42" customHeight="1"/>
    <row r="4289" ht="42" customHeight="1"/>
    <row r="4290" ht="42" customHeight="1"/>
    <row r="4291" ht="42" customHeight="1"/>
    <row r="4292" ht="42" customHeight="1"/>
    <row r="4293" ht="42" customHeight="1"/>
    <row r="4294" ht="42" customHeight="1"/>
    <row r="4295" ht="42" customHeight="1"/>
    <row r="4296" ht="42" customHeight="1"/>
    <row r="4297" ht="42" customHeight="1"/>
    <row r="4298" ht="42" customHeight="1"/>
    <row r="4299" ht="42" customHeight="1"/>
    <row r="4300" ht="42" customHeight="1"/>
    <row r="4301" ht="42" customHeight="1"/>
    <row r="4302" ht="42" customHeight="1"/>
    <row r="4303" ht="42" customHeight="1"/>
    <row r="4304" ht="42" customHeight="1"/>
    <row r="4305" ht="42" customHeight="1"/>
    <row r="4306" ht="42" customHeight="1"/>
    <row r="4307" ht="42" customHeight="1"/>
    <row r="4308" ht="42" customHeight="1"/>
    <row r="4309" ht="42" customHeight="1"/>
    <row r="4310" ht="42" customHeight="1"/>
    <row r="4311" ht="42" customHeight="1"/>
    <row r="4312" ht="42" customHeight="1"/>
    <row r="4313" ht="42" customHeight="1"/>
    <row r="4314" ht="42" customHeight="1"/>
    <row r="4315" ht="42" customHeight="1"/>
    <row r="4316" ht="42" customHeight="1"/>
    <row r="4317" ht="42" customHeight="1"/>
    <row r="4318" ht="42" customHeight="1"/>
    <row r="4319" ht="42" customHeight="1"/>
    <row r="4320" ht="42" customHeight="1"/>
    <row r="4321" ht="42" customHeight="1"/>
    <row r="4322" ht="42" customHeight="1"/>
    <row r="4323" ht="42" customHeight="1"/>
    <row r="4324" ht="42" customHeight="1"/>
    <row r="4325" ht="42" customHeight="1"/>
    <row r="4326" ht="42" customHeight="1"/>
    <row r="4327" ht="42" customHeight="1"/>
    <row r="4328" ht="42" customHeight="1"/>
    <row r="4329" ht="42" customHeight="1"/>
    <row r="4330" ht="42" customHeight="1"/>
    <row r="4331" ht="42" customHeight="1"/>
    <row r="4332" ht="42" customHeight="1"/>
    <row r="4333" ht="42" customHeight="1"/>
    <row r="4334" ht="42" customHeight="1"/>
    <row r="4335" ht="42" customHeight="1"/>
    <row r="4336" ht="42" customHeight="1"/>
    <row r="4337" ht="42" customHeight="1"/>
    <row r="4338" ht="42" customHeight="1"/>
    <row r="4339" ht="42" customHeight="1"/>
    <row r="4340" ht="42" customHeight="1"/>
    <row r="4341" ht="42" customHeight="1"/>
    <row r="4342" ht="42" customHeight="1"/>
    <row r="4343" ht="42" customHeight="1"/>
    <row r="4344" ht="42" customHeight="1"/>
    <row r="4345" ht="42" customHeight="1"/>
    <row r="4346" ht="42" customHeight="1"/>
    <row r="4347" ht="42" customHeight="1"/>
    <row r="4348" ht="42" customHeight="1"/>
    <row r="4349" ht="42" customHeight="1"/>
    <row r="4350" ht="42" customHeight="1"/>
    <row r="4351" ht="42" customHeight="1"/>
    <row r="4352" ht="42" customHeight="1"/>
    <row r="4353" ht="42" customHeight="1"/>
    <row r="4354" ht="42" customHeight="1"/>
    <row r="4355" ht="42" customHeight="1"/>
    <row r="4356" ht="42" customHeight="1"/>
    <row r="4357" ht="42" customHeight="1"/>
    <row r="4358" ht="42" customHeight="1"/>
    <row r="4359" ht="42" customHeight="1"/>
    <row r="4360" ht="42" customHeight="1"/>
    <row r="4361" ht="42" customHeight="1"/>
    <row r="4362" ht="42" customHeight="1"/>
    <row r="4363" ht="42" customHeight="1"/>
    <row r="4364" ht="42" customHeight="1"/>
    <row r="4365" ht="42" customHeight="1"/>
    <row r="4366" ht="42" customHeight="1"/>
    <row r="4367" ht="42" customHeight="1"/>
    <row r="4368" ht="42" customHeight="1"/>
    <row r="4369" ht="42" customHeight="1"/>
    <row r="4370" ht="42" customHeight="1"/>
    <row r="4371" ht="42" customHeight="1"/>
    <row r="4372" ht="42" customHeight="1"/>
    <row r="4373" ht="42" customHeight="1"/>
    <row r="4374" ht="42" customHeight="1"/>
    <row r="4375" ht="42" customHeight="1"/>
    <row r="4376" ht="42" customHeight="1"/>
    <row r="4377" ht="42" customHeight="1"/>
    <row r="4378" ht="42" customHeight="1"/>
    <row r="4379" ht="42" customHeight="1"/>
    <row r="4380" ht="42" customHeight="1"/>
    <row r="4381" ht="42" customHeight="1"/>
    <row r="4382" ht="42" customHeight="1"/>
    <row r="4383" ht="42" customHeight="1"/>
    <row r="4384" ht="42" customHeight="1"/>
    <row r="4385" ht="42" customHeight="1"/>
    <row r="4386" ht="42" customHeight="1"/>
    <row r="4387" ht="42" customHeight="1"/>
    <row r="4388" ht="42" customHeight="1"/>
    <row r="4389" ht="42" customHeight="1"/>
    <row r="4390" ht="42" customHeight="1"/>
    <row r="4391" ht="42" customHeight="1"/>
    <row r="4392" ht="42" customHeight="1"/>
    <row r="4393" ht="42" customHeight="1"/>
    <row r="4394" ht="42" customHeight="1"/>
    <row r="4395" ht="42" customHeight="1"/>
    <row r="4396" ht="42" customHeight="1"/>
    <row r="4397" ht="42" customHeight="1"/>
    <row r="4398" ht="42" customHeight="1"/>
    <row r="4399" ht="42" customHeight="1"/>
    <row r="4400" ht="42" customHeight="1"/>
    <row r="4401" ht="42" customHeight="1"/>
    <row r="4402" ht="42" customHeight="1"/>
    <row r="4403" ht="42" customHeight="1"/>
    <row r="4404" ht="42" customHeight="1"/>
    <row r="4405" ht="42" customHeight="1"/>
    <row r="4406" ht="42" customHeight="1"/>
    <row r="4407" ht="42" customHeight="1"/>
    <row r="4408" ht="42" customHeight="1"/>
    <row r="4409" ht="42" customHeight="1"/>
    <row r="4410" ht="42" customHeight="1"/>
    <row r="4411" ht="42" customHeight="1"/>
    <row r="4412" ht="42" customHeight="1"/>
    <row r="4413" ht="42" customHeight="1"/>
    <row r="4414" ht="42" customHeight="1"/>
    <row r="4415" ht="42" customHeight="1"/>
    <row r="4416" ht="42" customHeight="1"/>
    <row r="4417" ht="42" customHeight="1"/>
    <row r="4418" ht="42" customHeight="1"/>
    <row r="4419" ht="42" customHeight="1"/>
    <row r="4420" ht="42" customHeight="1"/>
    <row r="4421" ht="42" customHeight="1"/>
    <row r="4422" ht="42" customHeight="1"/>
    <row r="4423" ht="42" customHeight="1"/>
    <row r="4424" ht="42" customHeight="1"/>
    <row r="4425" ht="42" customHeight="1"/>
    <row r="4426" ht="42" customHeight="1"/>
    <row r="4427" ht="42" customHeight="1"/>
    <row r="4428" ht="42" customHeight="1"/>
    <row r="4429" ht="42" customHeight="1"/>
    <row r="4430" ht="42" customHeight="1"/>
    <row r="4431" ht="42" customHeight="1"/>
    <row r="4432" ht="42" customHeight="1"/>
    <row r="4433" ht="42" customHeight="1"/>
    <row r="4434" ht="42" customHeight="1"/>
    <row r="4435" ht="42" customHeight="1"/>
    <row r="4436" ht="42" customHeight="1"/>
    <row r="4437" ht="42" customHeight="1"/>
    <row r="4438" ht="42" customHeight="1"/>
    <row r="4439" ht="42" customHeight="1"/>
    <row r="4440" ht="42" customHeight="1"/>
    <row r="4441" ht="42" customHeight="1"/>
    <row r="4442" ht="42" customHeight="1"/>
    <row r="4443" ht="42" customHeight="1"/>
    <row r="4444" ht="42" customHeight="1"/>
    <row r="4445" ht="42" customHeight="1"/>
    <row r="4446" ht="42" customHeight="1"/>
    <row r="4447" ht="42" customHeight="1"/>
    <row r="4448" ht="42" customHeight="1"/>
    <row r="4449" ht="42" customHeight="1"/>
    <row r="4450" ht="42" customHeight="1"/>
    <row r="4451" ht="42" customHeight="1"/>
    <row r="4452" ht="42" customHeight="1"/>
    <row r="4453" ht="42" customHeight="1"/>
    <row r="4454" ht="42" customHeight="1"/>
    <row r="4455" ht="42" customHeight="1"/>
    <row r="4456" ht="42" customHeight="1"/>
    <row r="4457" ht="42" customHeight="1"/>
    <row r="4458" ht="42" customHeight="1"/>
    <row r="4459" ht="42" customHeight="1"/>
    <row r="4460" ht="42" customHeight="1"/>
    <row r="4461" ht="42" customHeight="1"/>
    <row r="4462" ht="42" customHeight="1"/>
    <row r="4463" ht="42" customHeight="1"/>
    <row r="4464" ht="42" customHeight="1"/>
    <row r="4465" ht="42" customHeight="1"/>
    <row r="4466" ht="42" customHeight="1"/>
    <row r="4467" ht="42" customHeight="1"/>
    <row r="4468" ht="42" customHeight="1"/>
    <row r="4469" ht="42" customHeight="1"/>
    <row r="4470" ht="42" customHeight="1"/>
    <row r="4471" ht="42" customHeight="1"/>
    <row r="4472" ht="42" customHeight="1"/>
    <row r="4473" ht="42" customHeight="1"/>
    <row r="4474" ht="42" customHeight="1"/>
    <row r="4475" ht="42" customHeight="1"/>
    <row r="4476" ht="42" customHeight="1"/>
    <row r="4477" ht="42" customHeight="1"/>
    <row r="4478" ht="42" customHeight="1"/>
    <row r="4479" ht="42" customHeight="1"/>
    <row r="4480" ht="42" customHeight="1"/>
    <row r="4481" ht="42" customHeight="1"/>
    <row r="4482" ht="42" customHeight="1"/>
    <row r="4483" ht="42" customHeight="1"/>
    <row r="4484" ht="42" customHeight="1"/>
    <row r="4485" ht="42" customHeight="1"/>
    <row r="4486" ht="42" customHeight="1"/>
    <row r="4487" ht="42" customHeight="1"/>
    <row r="4488" ht="42" customHeight="1"/>
    <row r="4489" ht="42" customHeight="1"/>
    <row r="4490" ht="42" customHeight="1"/>
    <row r="4491" ht="42" customHeight="1"/>
    <row r="4492" ht="42" customHeight="1"/>
    <row r="4493" ht="42" customHeight="1"/>
    <row r="4494" ht="42" customHeight="1"/>
    <row r="4495" ht="42" customHeight="1"/>
    <row r="4496" ht="42" customHeight="1"/>
    <row r="4497" ht="42" customHeight="1"/>
    <row r="4498" ht="42" customHeight="1"/>
    <row r="4499" ht="42" customHeight="1"/>
    <row r="4500" ht="42" customHeight="1"/>
    <row r="4501" ht="42" customHeight="1"/>
    <row r="4502" ht="42" customHeight="1"/>
    <row r="4503" ht="42" customHeight="1"/>
    <row r="4504" ht="42" customHeight="1"/>
    <row r="4505" ht="42" customHeight="1"/>
    <row r="4506" ht="42" customHeight="1"/>
    <row r="4507" ht="42" customHeight="1"/>
    <row r="4508" ht="42" customHeight="1"/>
    <row r="4509" ht="42" customHeight="1"/>
    <row r="4510" ht="42" customHeight="1"/>
    <row r="4511" ht="42" customHeight="1"/>
    <row r="4512" ht="42" customHeight="1"/>
    <row r="4513" ht="42" customHeight="1"/>
    <row r="4514" ht="42" customHeight="1"/>
    <row r="4515" ht="42" customHeight="1"/>
    <row r="4516" ht="42" customHeight="1"/>
    <row r="4517" ht="42" customHeight="1"/>
    <row r="4518" ht="42" customHeight="1"/>
    <row r="4519" ht="42" customHeight="1"/>
    <row r="4520" ht="42" customHeight="1"/>
    <row r="4521" ht="42" customHeight="1"/>
    <row r="4522" ht="42" customHeight="1"/>
    <row r="4523" ht="42" customHeight="1"/>
    <row r="4524" ht="42" customHeight="1"/>
    <row r="4525" ht="42" customHeight="1"/>
    <row r="4526" ht="42" customHeight="1"/>
    <row r="4527" ht="42" customHeight="1"/>
    <row r="4528" ht="42" customHeight="1"/>
    <row r="4529" ht="42" customHeight="1"/>
    <row r="4530" ht="42" customHeight="1"/>
    <row r="4531" ht="42" customHeight="1"/>
    <row r="4532" ht="42" customHeight="1"/>
    <row r="4533" ht="42" customHeight="1"/>
    <row r="4534" ht="42" customHeight="1"/>
    <row r="4535" ht="42" customHeight="1"/>
    <row r="4536" ht="42" customHeight="1"/>
    <row r="4537" ht="42" customHeight="1"/>
    <row r="4538" ht="42" customHeight="1"/>
    <row r="4539" ht="42" customHeight="1"/>
    <row r="4540" ht="42" customHeight="1"/>
    <row r="4541" ht="42" customHeight="1"/>
    <row r="4542" ht="42" customHeight="1"/>
    <row r="4543" ht="42" customHeight="1"/>
    <row r="4544" ht="42" customHeight="1"/>
    <row r="4545" ht="42" customHeight="1"/>
    <row r="4546" ht="42" customHeight="1"/>
    <row r="4547" ht="42" customHeight="1"/>
    <row r="4548" ht="42" customHeight="1"/>
    <row r="4549" ht="42" customHeight="1"/>
    <row r="4550" ht="42" customHeight="1"/>
    <row r="4551" ht="42" customHeight="1"/>
    <row r="4552" ht="42" customHeight="1"/>
    <row r="4553" ht="42" customHeight="1"/>
    <row r="4554" ht="42" customHeight="1"/>
    <row r="4555" ht="42" customHeight="1"/>
    <row r="4556" ht="42" customHeight="1"/>
    <row r="4557" ht="42" customHeight="1"/>
    <row r="4558" ht="42" customHeight="1"/>
    <row r="4559" ht="42" customHeight="1"/>
    <row r="4560" ht="42" customHeight="1"/>
    <row r="4561" ht="42" customHeight="1"/>
    <row r="4562" ht="42" customHeight="1"/>
    <row r="4563" ht="42" customHeight="1"/>
    <row r="4564" ht="42" customHeight="1"/>
    <row r="4565" ht="42" customHeight="1"/>
    <row r="4566" ht="42" customHeight="1"/>
    <row r="4567" ht="42" customHeight="1"/>
    <row r="4568" ht="42" customHeight="1"/>
    <row r="4569" ht="42" customHeight="1"/>
    <row r="4570" ht="42" customHeight="1"/>
    <row r="4571" ht="42" customHeight="1"/>
    <row r="4572" ht="42" customHeight="1"/>
    <row r="4573" ht="42" customHeight="1"/>
    <row r="4574" ht="42" customHeight="1"/>
    <row r="4575" ht="42" customHeight="1"/>
    <row r="4576" ht="42" customHeight="1"/>
    <row r="4577" ht="42" customHeight="1"/>
    <row r="4578" ht="42" customHeight="1"/>
    <row r="4579" ht="42" customHeight="1"/>
    <row r="4580" ht="42" customHeight="1"/>
    <row r="4581" ht="42" customHeight="1"/>
    <row r="4582" ht="42" customHeight="1"/>
    <row r="4583" ht="42" customHeight="1"/>
    <row r="4584" ht="42" customHeight="1"/>
    <row r="4585" ht="42" customHeight="1"/>
    <row r="4586" ht="42" customHeight="1"/>
    <row r="4587" ht="42" customHeight="1"/>
    <row r="4588" ht="42" customHeight="1"/>
    <row r="4589" ht="42" customHeight="1"/>
    <row r="4590" ht="42" customHeight="1"/>
    <row r="4591" ht="42" customHeight="1"/>
    <row r="4592" ht="42" customHeight="1"/>
    <row r="4593" ht="42" customHeight="1"/>
    <row r="4594" ht="42" customHeight="1"/>
    <row r="4595" ht="42" customHeight="1"/>
    <row r="4596" ht="42" customHeight="1"/>
    <row r="4597" ht="42" customHeight="1"/>
    <row r="4598" ht="42" customHeight="1"/>
    <row r="4599" ht="42" customHeight="1"/>
    <row r="4600" ht="42" customHeight="1"/>
    <row r="4601" ht="42" customHeight="1"/>
    <row r="4602" ht="42" customHeight="1"/>
    <row r="4603" ht="42" customHeight="1"/>
    <row r="4604" ht="42" customHeight="1"/>
    <row r="4605" ht="42" customHeight="1"/>
    <row r="4606" ht="42" customHeight="1"/>
    <row r="4607" ht="42" customHeight="1"/>
    <row r="4608" ht="42" customHeight="1"/>
    <row r="4609" ht="42" customHeight="1"/>
    <row r="4610" ht="42" customHeight="1"/>
    <row r="4611" ht="42" customHeight="1"/>
    <row r="4612" ht="42" customHeight="1"/>
    <row r="4613" ht="42" customHeight="1"/>
    <row r="4614" ht="42" customHeight="1"/>
    <row r="4615" ht="42" customHeight="1"/>
    <row r="4616" ht="42" customHeight="1"/>
    <row r="4617" ht="42" customHeight="1"/>
    <row r="4618" ht="42" customHeight="1"/>
    <row r="4619" ht="42" customHeight="1"/>
    <row r="4620" ht="42" customHeight="1"/>
    <row r="4621" ht="42" customHeight="1"/>
    <row r="4622" ht="42" customHeight="1"/>
    <row r="4623" ht="42" customHeight="1"/>
    <row r="4624" ht="42" customHeight="1"/>
    <row r="4625" ht="42" customHeight="1"/>
    <row r="4626" ht="42" customHeight="1"/>
    <row r="4627" ht="42" customHeight="1"/>
    <row r="4628" ht="42" customHeight="1"/>
    <row r="4629" ht="42" customHeight="1"/>
    <row r="4630" ht="42" customHeight="1"/>
    <row r="4631" ht="42" customHeight="1"/>
    <row r="4632" ht="42" customHeight="1"/>
    <row r="4633" ht="42" customHeight="1"/>
    <row r="4634" ht="42" customHeight="1"/>
    <row r="4635" ht="42" customHeight="1"/>
    <row r="4636" ht="42" customHeight="1"/>
    <row r="4637" ht="42" customHeight="1"/>
    <row r="4638" ht="42" customHeight="1"/>
    <row r="4639" ht="42" customHeight="1"/>
    <row r="4640" ht="42" customHeight="1"/>
    <row r="4641" ht="42" customHeight="1"/>
    <row r="4642" ht="42" customHeight="1"/>
    <row r="4643" ht="42" customHeight="1"/>
    <row r="4644" ht="42" customHeight="1"/>
    <row r="4645" ht="42" customHeight="1"/>
    <row r="4646" ht="42" customHeight="1"/>
    <row r="4647" ht="42" customHeight="1"/>
    <row r="4648" ht="42" customHeight="1"/>
    <row r="4649" ht="42" customHeight="1"/>
    <row r="4650" ht="42" customHeight="1"/>
    <row r="4651" ht="42" customHeight="1"/>
    <row r="4652" ht="42" customHeight="1"/>
    <row r="4653" ht="42" customHeight="1"/>
    <row r="4654" ht="42" customHeight="1"/>
    <row r="4655" ht="42" customHeight="1"/>
    <row r="4656" ht="42" customHeight="1"/>
    <row r="4657" ht="42" customHeight="1"/>
    <row r="4658" ht="42" customHeight="1"/>
    <row r="4659" ht="42" customHeight="1"/>
    <row r="4660" ht="42" customHeight="1"/>
    <row r="4661" ht="42" customHeight="1"/>
    <row r="4662" ht="42" customHeight="1"/>
    <row r="4663" ht="42" customHeight="1"/>
    <row r="4664" ht="42" customHeight="1"/>
    <row r="4665" ht="42" customHeight="1"/>
    <row r="4666" ht="42" customHeight="1"/>
    <row r="4667" ht="42" customHeight="1"/>
    <row r="4668" ht="42" customHeight="1"/>
    <row r="4669" ht="42" customHeight="1"/>
    <row r="4670" ht="42" customHeight="1"/>
    <row r="4671" ht="42" customHeight="1"/>
    <row r="4672" ht="42" customHeight="1"/>
    <row r="4673" ht="42" customHeight="1"/>
    <row r="4674" ht="42" customHeight="1"/>
    <row r="4675" ht="42" customHeight="1"/>
    <row r="4676" ht="42" customHeight="1"/>
    <row r="4677" ht="42" customHeight="1"/>
    <row r="4678" ht="42" customHeight="1"/>
    <row r="4679" ht="42" customHeight="1"/>
    <row r="4680" ht="42" customHeight="1"/>
    <row r="4681" ht="42" customHeight="1"/>
    <row r="4682" ht="42" customHeight="1"/>
    <row r="4683" ht="42" customHeight="1"/>
    <row r="4684" ht="42" customHeight="1"/>
    <row r="4685" ht="42" customHeight="1"/>
    <row r="4686" ht="42" customHeight="1"/>
    <row r="4687" ht="42" customHeight="1"/>
    <row r="4688" ht="42" customHeight="1"/>
    <row r="4689" ht="42" customHeight="1"/>
    <row r="4690" ht="42" customHeight="1"/>
    <row r="4691" ht="42" customHeight="1"/>
    <row r="4692" ht="42" customHeight="1"/>
    <row r="4693" ht="42" customHeight="1"/>
    <row r="4694" ht="42" customHeight="1"/>
    <row r="4695" ht="42" customHeight="1"/>
    <row r="4696" ht="42" customHeight="1"/>
    <row r="4697" ht="42" customHeight="1"/>
    <row r="4698" ht="42" customHeight="1"/>
    <row r="4699" ht="42" customHeight="1"/>
    <row r="4700" ht="42" customHeight="1"/>
    <row r="4701" ht="42" customHeight="1"/>
    <row r="4702" ht="42" customHeight="1"/>
    <row r="4703" ht="42" customHeight="1"/>
    <row r="4704" ht="42" customHeight="1"/>
    <row r="4705" ht="42" customHeight="1"/>
    <row r="4706" ht="42" customHeight="1"/>
    <row r="4707" ht="42" customHeight="1"/>
    <row r="4708" ht="42" customHeight="1"/>
    <row r="4709" ht="42" customHeight="1"/>
    <row r="4710" ht="42" customHeight="1"/>
    <row r="4711" ht="42" customHeight="1"/>
    <row r="4712" ht="42" customHeight="1"/>
    <row r="4713" ht="42" customHeight="1"/>
    <row r="4714" ht="42" customHeight="1"/>
    <row r="4715" ht="42" customHeight="1"/>
    <row r="4716" ht="42" customHeight="1"/>
    <row r="4717" ht="42" customHeight="1"/>
    <row r="4718" ht="42" customHeight="1"/>
    <row r="4719" ht="42" customHeight="1"/>
    <row r="4720" ht="42" customHeight="1"/>
    <row r="4721" ht="42" customHeight="1"/>
    <row r="4722" ht="42" customHeight="1"/>
    <row r="4723" ht="42" customHeight="1"/>
    <row r="4724" ht="42" customHeight="1"/>
    <row r="4725" ht="42" customHeight="1"/>
    <row r="4726" ht="42" customHeight="1"/>
    <row r="4727" ht="42" customHeight="1"/>
    <row r="4728" ht="42" customHeight="1"/>
    <row r="4729" ht="42" customHeight="1"/>
    <row r="4730" ht="42" customHeight="1"/>
    <row r="4731" ht="42" customHeight="1"/>
    <row r="4732" ht="42" customHeight="1"/>
    <row r="4733" ht="42" customHeight="1"/>
    <row r="4734" ht="42" customHeight="1"/>
    <row r="4735" ht="42" customHeight="1"/>
    <row r="4736" ht="42" customHeight="1"/>
    <row r="4737" ht="42" customHeight="1"/>
    <row r="4738" ht="42" customHeight="1"/>
    <row r="4739" ht="42" customHeight="1"/>
    <row r="4740" ht="42" customHeight="1"/>
    <row r="4741" ht="42" customHeight="1"/>
    <row r="4742" ht="42" customHeight="1"/>
    <row r="4743" ht="42" customHeight="1"/>
    <row r="4744" ht="42" customHeight="1"/>
    <row r="4745" ht="42" customHeight="1"/>
    <row r="4746" ht="42" customHeight="1"/>
    <row r="4747" ht="42" customHeight="1"/>
    <row r="4748" ht="42" customHeight="1"/>
    <row r="4749" ht="42" customHeight="1"/>
    <row r="4750" ht="42" customHeight="1"/>
    <row r="4751" ht="42" customHeight="1"/>
    <row r="4752" ht="42" customHeight="1"/>
    <row r="4753" ht="42" customHeight="1"/>
    <row r="4754" ht="42" customHeight="1"/>
    <row r="4755" ht="42" customHeight="1"/>
    <row r="4756" ht="42" customHeight="1"/>
    <row r="4757" ht="42" customHeight="1"/>
    <row r="4758" ht="42" customHeight="1"/>
    <row r="4759" ht="42" customHeight="1"/>
    <row r="4760" ht="42" customHeight="1"/>
    <row r="4761" ht="42" customHeight="1"/>
    <row r="4762" ht="42" customHeight="1"/>
    <row r="4763" ht="42" customHeight="1"/>
    <row r="4764" ht="42" customHeight="1"/>
    <row r="4765" ht="42" customHeight="1"/>
    <row r="4766" ht="42" customHeight="1"/>
    <row r="4767" ht="42" customHeight="1"/>
    <row r="4768" ht="42" customHeight="1"/>
    <row r="4769" ht="42" customHeight="1"/>
    <row r="4770" ht="42" customHeight="1"/>
    <row r="4771" ht="42" customHeight="1"/>
    <row r="4772" ht="42" customHeight="1"/>
    <row r="4773" ht="42" customHeight="1"/>
    <row r="4774" ht="42" customHeight="1"/>
    <row r="4775" ht="42" customHeight="1"/>
    <row r="4776" ht="42" customHeight="1"/>
    <row r="4777" ht="42" customHeight="1"/>
    <row r="4778" ht="42" customHeight="1"/>
    <row r="4779" ht="42" customHeight="1"/>
    <row r="4780" ht="42" customHeight="1"/>
    <row r="4781" ht="42" customHeight="1"/>
    <row r="4782" ht="42" customHeight="1"/>
    <row r="4783" ht="42" customHeight="1"/>
    <row r="4784" ht="42" customHeight="1"/>
    <row r="4785" ht="42" customHeight="1"/>
    <row r="4786" ht="42" customHeight="1"/>
    <row r="4787" ht="42" customHeight="1"/>
    <row r="4788" ht="42" customHeight="1"/>
    <row r="4789" ht="42" customHeight="1"/>
    <row r="4790" ht="42" customHeight="1"/>
    <row r="4791" ht="42" customHeight="1"/>
    <row r="4792" ht="42" customHeight="1"/>
    <row r="4793" ht="42" customHeight="1"/>
    <row r="4794" ht="42" customHeight="1"/>
    <row r="4795" ht="42" customHeight="1"/>
    <row r="4796" ht="42" customHeight="1"/>
    <row r="4797" ht="42" customHeight="1"/>
    <row r="4798" ht="42" customHeight="1"/>
    <row r="4799" ht="42" customHeight="1"/>
    <row r="4800" ht="42" customHeight="1"/>
    <row r="4801" ht="42" customHeight="1"/>
    <row r="4802" ht="42" customHeight="1"/>
    <row r="4803" ht="42" customHeight="1"/>
    <row r="4804" ht="42" customHeight="1"/>
    <row r="4805" ht="42" customHeight="1"/>
    <row r="4806" ht="42" customHeight="1"/>
    <row r="4807" ht="42" customHeight="1"/>
    <row r="4808" ht="42" customHeight="1"/>
    <row r="4809" ht="42" customHeight="1"/>
    <row r="4810" ht="42" customHeight="1"/>
    <row r="4811" ht="42" customHeight="1"/>
    <row r="4812" ht="42" customHeight="1"/>
    <row r="4813" ht="42" customHeight="1"/>
    <row r="4814" ht="42" customHeight="1"/>
    <row r="4815" ht="42" customHeight="1"/>
    <row r="4816" ht="42" customHeight="1"/>
    <row r="4817" ht="42" customHeight="1"/>
    <row r="4818" ht="42" customHeight="1"/>
    <row r="4819" ht="42" customHeight="1"/>
    <row r="4820" ht="42" customHeight="1"/>
    <row r="4821" ht="42" customHeight="1"/>
    <row r="4822" ht="42" customHeight="1"/>
    <row r="4823" ht="42" customHeight="1"/>
    <row r="4824" ht="42" customHeight="1"/>
    <row r="4825" ht="42" customHeight="1"/>
    <row r="4826" ht="42" customHeight="1"/>
    <row r="4827" ht="42" customHeight="1"/>
    <row r="4828" ht="42" customHeight="1"/>
    <row r="4829" ht="42" customHeight="1"/>
    <row r="4830" ht="42" customHeight="1"/>
    <row r="4831" ht="42" customHeight="1"/>
    <row r="4832" ht="42" customHeight="1"/>
    <row r="4833" ht="42" customHeight="1"/>
    <row r="4834" ht="42" customHeight="1"/>
    <row r="4835" ht="42" customHeight="1"/>
    <row r="4836" ht="42" customHeight="1"/>
    <row r="4837" ht="42" customHeight="1"/>
    <row r="4838" ht="42" customHeight="1"/>
    <row r="4839" ht="42" customHeight="1"/>
    <row r="4840" ht="42" customHeight="1"/>
    <row r="4841" ht="42" customHeight="1"/>
    <row r="4842" ht="42" customHeight="1"/>
    <row r="4843" ht="42" customHeight="1"/>
    <row r="4844" ht="42" customHeight="1"/>
    <row r="4845" ht="42" customHeight="1"/>
    <row r="4846" ht="42" customHeight="1"/>
    <row r="4847" ht="42" customHeight="1"/>
    <row r="4848" ht="42" customHeight="1"/>
    <row r="4849" ht="42" customHeight="1"/>
    <row r="4850" ht="42" customHeight="1"/>
    <row r="4851" ht="42" customHeight="1"/>
    <row r="4852" ht="42" customHeight="1"/>
    <row r="4853" ht="42" customHeight="1"/>
    <row r="4854" ht="42" customHeight="1"/>
    <row r="4855" ht="42" customHeight="1"/>
    <row r="4856" ht="42" customHeight="1"/>
    <row r="4857" ht="42" customHeight="1"/>
    <row r="4858" ht="42" customHeight="1"/>
    <row r="4859" ht="42" customHeight="1"/>
    <row r="4860" ht="42" customHeight="1"/>
    <row r="4861" ht="42" customHeight="1"/>
    <row r="4862" ht="42" customHeight="1"/>
    <row r="4863" ht="42" customHeight="1"/>
    <row r="4864" ht="42" customHeight="1"/>
    <row r="4865" ht="42" customHeight="1"/>
    <row r="4866" ht="42" customHeight="1"/>
    <row r="4867" ht="42" customHeight="1"/>
    <row r="4868" ht="42" customHeight="1"/>
    <row r="4869" ht="42" customHeight="1"/>
    <row r="4870" ht="42" customHeight="1"/>
    <row r="4871" ht="42" customHeight="1"/>
    <row r="4872" ht="42" customHeight="1"/>
    <row r="4873" ht="42" customHeight="1"/>
    <row r="4874" ht="42" customHeight="1"/>
    <row r="4875" ht="42" customHeight="1"/>
    <row r="4876" ht="42" customHeight="1"/>
    <row r="4877" ht="42" customHeight="1"/>
    <row r="4878" ht="42" customHeight="1"/>
    <row r="4879" ht="42" customHeight="1"/>
    <row r="4880" ht="42" customHeight="1"/>
    <row r="4881" ht="42" customHeight="1"/>
    <row r="4882" ht="42" customHeight="1"/>
    <row r="4883" ht="42" customHeight="1"/>
    <row r="4884" ht="42" customHeight="1"/>
    <row r="4885" ht="42" customHeight="1"/>
    <row r="4886" ht="42" customHeight="1"/>
    <row r="4887" ht="42" customHeight="1"/>
    <row r="4888" ht="42" customHeight="1"/>
    <row r="4889" ht="42" customHeight="1"/>
    <row r="4890" ht="42" customHeight="1"/>
    <row r="4891" ht="42" customHeight="1"/>
    <row r="4892" ht="42" customHeight="1"/>
    <row r="4893" ht="42" customHeight="1"/>
    <row r="4894" ht="42" customHeight="1"/>
    <row r="4895" ht="42" customHeight="1"/>
    <row r="4896" ht="42" customHeight="1"/>
    <row r="4897" ht="42" customHeight="1"/>
    <row r="4898" ht="42" customHeight="1"/>
    <row r="4899" ht="42" customHeight="1"/>
    <row r="4900" ht="42" customHeight="1"/>
    <row r="4901" ht="42" customHeight="1"/>
    <row r="4902" ht="42" customHeight="1"/>
    <row r="4903" ht="42" customHeight="1"/>
    <row r="4904" ht="42" customHeight="1"/>
    <row r="4905" ht="42" customHeight="1"/>
    <row r="4906" ht="42" customHeight="1"/>
    <row r="4907" ht="42" customHeight="1"/>
    <row r="4908" ht="42" customHeight="1"/>
    <row r="4909" ht="42" customHeight="1"/>
    <row r="4910" ht="42" customHeight="1"/>
    <row r="4911" ht="42" customHeight="1"/>
    <row r="4912" ht="42" customHeight="1"/>
    <row r="4913" ht="42" customHeight="1"/>
    <row r="4914" ht="42" customHeight="1"/>
    <row r="4915" ht="42" customHeight="1"/>
    <row r="4916" ht="42" customHeight="1"/>
    <row r="4917" ht="42" customHeight="1"/>
    <row r="4918" ht="42" customHeight="1"/>
    <row r="4919" ht="42" customHeight="1"/>
    <row r="4920" ht="42" customHeight="1"/>
    <row r="4921" ht="42" customHeight="1"/>
    <row r="4922" ht="42" customHeight="1"/>
    <row r="4923" ht="42" customHeight="1"/>
    <row r="4924" ht="42" customHeight="1"/>
    <row r="4925" ht="42" customHeight="1"/>
    <row r="4926" ht="42" customHeight="1"/>
    <row r="4927" ht="42" customHeight="1"/>
    <row r="4928" ht="42" customHeight="1"/>
    <row r="4929" ht="42" customHeight="1"/>
    <row r="4930" ht="42" customHeight="1"/>
    <row r="4931" ht="42" customHeight="1"/>
    <row r="4932" ht="42" customHeight="1"/>
    <row r="4933" ht="42" customHeight="1"/>
    <row r="4934" ht="42" customHeight="1"/>
    <row r="4935" ht="42" customHeight="1"/>
    <row r="4936" ht="42" customHeight="1"/>
    <row r="4937" ht="42" customHeight="1"/>
    <row r="4938" ht="42" customHeight="1"/>
    <row r="4939" ht="42" customHeight="1"/>
    <row r="4940" ht="42" customHeight="1"/>
    <row r="4941" ht="42" customHeight="1"/>
    <row r="4942" ht="42" customHeight="1"/>
    <row r="4943" ht="42" customHeight="1"/>
    <row r="4944" ht="42" customHeight="1"/>
    <row r="4945" ht="42" customHeight="1"/>
    <row r="4946" ht="42" customHeight="1"/>
    <row r="4947" ht="42" customHeight="1"/>
    <row r="4948" ht="42" customHeight="1"/>
    <row r="4949" ht="42" customHeight="1"/>
    <row r="4950" ht="42" customHeight="1"/>
    <row r="4951" ht="42" customHeight="1"/>
    <row r="4952" ht="42" customHeight="1"/>
    <row r="4953" ht="42" customHeight="1"/>
    <row r="4954" ht="42" customHeight="1"/>
    <row r="4955" ht="42" customHeight="1"/>
    <row r="4956" ht="42" customHeight="1"/>
    <row r="4957" ht="42" customHeight="1"/>
    <row r="4958" ht="42" customHeight="1"/>
    <row r="4959" ht="42" customHeight="1"/>
    <row r="4960" ht="42" customHeight="1"/>
    <row r="4961" ht="42" customHeight="1"/>
    <row r="4962" ht="42" customHeight="1"/>
    <row r="4963" ht="42" customHeight="1"/>
    <row r="4964" ht="42" customHeight="1"/>
    <row r="4965" ht="42" customHeight="1"/>
    <row r="4966" ht="42" customHeight="1"/>
    <row r="4967" ht="42" customHeight="1"/>
    <row r="4968" ht="42" customHeight="1"/>
    <row r="4969" ht="42" customHeight="1"/>
    <row r="4970" ht="42" customHeight="1"/>
    <row r="4971" ht="42" customHeight="1"/>
    <row r="4972" ht="42" customHeight="1"/>
    <row r="4973" ht="42" customHeight="1"/>
    <row r="4974" ht="42" customHeight="1"/>
    <row r="4975" ht="42" customHeight="1"/>
    <row r="4976" ht="42" customHeight="1"/>
    <row r="4977" ht="42" customHeight="1"/>
    <row r="4978" ht="42" customHeight="1"/>
    <row r="4979" ht="42" customHeight="1"/>
    <row r="4980" ht="42" customHeight="1"/>
    <row r="4981" ht="42" customHeight="1"/>
    <row r="4982" ht="42" customHeight="1"/>
    <row r="4983" ht="42" customHeight="1"/>
    <row r="4984" ht="42" customHeight="1"/>
    <row r="4985" ht="42" customHeight="1"/>
    <row r="4986" ht="42" customHeight="1"/>
    <row r="4987" ht="42" customHeight="1"/>
    <row r="4988" ht="42" customHeight="1"/>
    <row r="4989" ht="42" customHeight="1"/>
    <row r="4990" ht="42" customHeight="1"/>
    <row r="4991" ht="42" customHeight="1"/>
    <row r="4992" ht="42" customHeight="1"/>
    <row r="4993" ht="42" customHeight="1"/>
    <row r="4994" ht="42" customHeight="1"/>
    <row r="4995" ht="42" customHeight="1"/>
    <row r="4996" ht="42" customHeight="1"/>
    <row r="4997" ht="42" customHeight="1"/>
    <row r="4998" ht="42" customHeight="1"/>
    <row r="4999" ht="42" customHeight="1"/>
    <row r="5000" ht="42" customHeight="1"/>
    <row r="5001" ht="42" customHeight="1"/>
    <row r="5002" ht="42" customHeight="1"/>
    <row r="5003" ht="42" customHeight="1"/>
    <row r="5004" ht="42" customHeight="1"/>
    <row r="5005" ht="42" customHeight="1"/>
    <row r="5006" ht="42" customHeight="1"/>
    <row r="5007" ht="42" customHeight="1"/>
    <row r="5008" ht="42" customHeight="1"/>
    <row r="5009" ht="42" customHeight="1"/>
    <row r="5010" ht="42" customHeight="1"/>
    <row r="5011" ht="42" customHeight="1"/>
    <row r="5012" ht="42" customHeight="1"/>
    <row r="5013" ht="42" customHeight="1"/>
    <row r="5014" ht="42" customHeight="1"/>
    <row r="5015" ht="42" customHeight="1"/>
    <row r="5016" ht="42" customHeight="1"/>
    <row r="5017" ht="42" customHeight="1"/>
    <row r="5018" ht="42" customHeight="1"/>
    <row r="5019" ht="42" customHeight="1"/>
    <row r="5020" ht="42" customHeight="1"/>
    <row r="5021" ht="42" customHeight="1"/>
    <row r="5022" ht="42" customHeight="1"/>
    <row r="5023" ht="42" customHeight="1"/>
    <row r="5024" ht="42" customHeight="1"/>
    <row r="5025" ht="42" customHeight="1"/>
    <row r="5026" ht="42" customHeight="1"/>
    <row r="5027" ht="42" customHeight="1"/>
    <row r="5028" ht="42" customHeight="1"/>
    <row r="5029" ht="42" customHeight="1"/>
    <row r="5030" ht="42" customHeight="1"/>
    <row r="5031" ht="42" customHeight="1"/>
    <row r="5032" ht="42" customHeight="1"/>
    <row r="5033" ht="42" customHeight="1"/>
    <row r="5034" ht="42" customHeight="1"/>
    <row r="5035" ht="42" customHeight="1"/>
    <row r="5036" ht="42" customHeight="1"/>
    <row r="5037" ht="42" customHeight="1"/>
    <row r="5038" ht="42" customHeight="1"/>
    <row r="5039" ht="42" customHeight="1"/>
    <row r="5040" ht="42" customHeight="1"/>
    <row r="5041" ht="42" customHeight="1"/>
    <row r="5042" ht="42" customHeight="1"/>
    <row r="5043" ht="42" customHeight="1"/>
    <row r="5044" ht="42" customHeight="1"/>
    <row r="5045" ht="42" customHeight="1"/>
    <row r="5046" ht="42" customHeight="1"/>
    <row r="5047" ht="42" customHeight="1"/>
    <row r="5048" ht="42" customHeight="1"/>
    <row r="5049" ht="42" customHeight="1"/>
    <row r="5050" ht="42" customHeight="1"/>
    <row r="5051" ht="42" customHeight="1"/>
    <row r="5052" ht="42" customHeight="1"/>
    <row r="5053" ht="42" customHeight="1"/>
    <row r="5054" ht="42" customHeight="1"/>
    <row r="5055" ht="42" customHeight="1"/>
    <row r="5056" ht="42" customHeight="1"/>
    <row r="5057" ht="42" customHeight="1"/>
    <row r="5058" ht="42" customHeight="1"/>
    <row r="5059" ht="42" customHeight="1"/>
    <row r="5060" ht="42" customHeight="1"/>
    <row r="5061" ht="42" customHeight="1"/>
    <row r="5062" ht="42" customHeight="1"/>
    <row r="5063" ht="42" customHeight="1"/>
    <row r="5064" ht="42" customHeight="1"/>
    <row r="5065" ht="42" customHeight="1"/>
    <row r="5066" ht="42" customHeight="1"/>
    <row r="5067" ht="42" customHeight="1"/>
    <row r="5068" ht="42" customHeight="1"/>
    <row r="5069" ht="42" customHeight="1"/>
    <row r="5070" ht="42" customHeight="1"/>
    <row r="5071" ht="42" customHeight="1"/>
    <row r="5072" ht="42" customHeight="1"/>
    <row r="5073" ht="42" customHeight="1"/>
    <row r="5074" ht="42" customHeight="1"/>
    <row r="5075" ht="42" customHeight="1"/>
    <row r="5076" ht="42" customHeight="1"/>
    <row r="5077" ht="42" customHeight="1"/>
    <row r="5078" ht="42" customHeight="1"/>
    <row r="5079" ht="42" customHeight="1"/>
    <row r="5080" ht="42" customHeight="1"/>
    <row r="5081" ht="42" customHeight="1"/>
    <row r="5082" ht="42" customHeight="1"/>
    <row r="5083" ht="42" customHeight="1"/>
    <row r="5084" ht="42" customHeight="1"/>
    <row r="5085" ht="42" customHeight="1"/>
    <row r="5086" ht="42" customHeight="1"/>
    <row r="5087" ht="42" customHeight="1"/>
    <row r="5088" ht="42" customHeight="1"/>
    <row r="5089" ht="42" customHeight="1"/>
    <row r="5090" ht="42" customHeight="1"/>
    <row r="5091" ht="42" customHeight="1"/>
    <row r="5092" ht="42" customHeight="1"/>
    <row r="5093" ht="42" customHeight="1"/>
    <row r="5094" ht="42" customHeight="1"/>
    <row r="5095" ht="42" customHeight="1"/>
    <row r="5096" ht="42" customHeight="1"/>
    <row r="5097" ht="42" customHeight="1"/>
    <row r="5098" ht="42" customHeight="1"/>
    <row r="5099" ht="42" customHeight="1"/>
    <row r="5100" ht="42" customHeight="1"/>
    <row r="5101" ht="42" customHeight="1"/>
    <row r="5102" ht="42" customHeight="1"/>
    <row r="5103" ht="42" customHeight="1"/>
    <row r="5104" ht="42" customHeight="1"/>
    <row r="5105" ht="42" customHeight="1"/>
    <row r="5106" ht="42" customHeight="1"/>
    <row r="5107" ht="42" customHeight="1"/>
    <row r="5108" ht="42" customHeight="1"/>
    <row r="5109" ht="42" customHeight="1"/>
    <row r="5110" ht="42" customHeight="1"/>
    <row r="5111" ht="42" customHeight="1"/>
    <row r="5112" ht="42" customHeight="1"/>
    <row r="5113" ht="42" customHeight="1"/>
    <row r="5114" ht="42" customHeight="1"/>
    <row r="5115" ht="42" customHeight="1"/>
    <row r="5116" ht="42" customHeight="1"/>
    <row r="5117" ht="42" customHeight="1"/>
    <row r="5118" ht="42" customHeight="1"/>
    <row r="5119" ht="42" customHeight="1"/>
    <row r="5120" ht="42" customHeight="1"/>
    <row r="5121" ht="42" customHeight="1"/>
    <row r="5122" ht="42" customHeight="1"/>
    <row r="5123" ht="42" customHeight="1"/>
    <row r="5124" ht="42" customHeight="1"/>
    <row r="5125" ht="42" customHeight="1"/>
    <row r="5126" ht="42" customHeight="1"/>
    <row r="5127" ht="42" customHeight="1"/>
    <row r="5128" ht="42" customHeight="1"/>
    <row r="5129" ht="42" customHeight="1"/>
    <row r="5130" ht="42" customHeight="1"/>
    <row r="5131" ht="42" customHeight="1"/>
    <row r="5132" ht="42" customHeight="1"/>
    <row r="5133" ht="42" customHeight="1"/>
    <row r="5134" ht="42" customHeight="1"/>
    <row r="5135" ht="42" customHeight="1"/>
    <row r="5136" ht="42" customHeight="1"/>
    <row r="5137" ht="42" customHeight="1"/>
    <row r="5138" ht="42" customHeight="1"/>
    <row r="5139" ht="42" customHeight="1"/>
    <row r="5140" ht="42" customHeight="1"/>
    <row r="5141" ht="42" customHeight="1"/>
    <row r="5142" ht="42" customHeight="1"/>
    <row r="5143" ht="42" customHeight="1"/>
    <row r="5144" ht="42" customHeight="1"/>
    <row r="5145" ht="42" customHeight="1"/>
    <row r="5146" ht="42" customHeight="1"/>
    <row r="5147" ht="42" customHeight="1"/>
    <row r="5148" ht="42" customHeight="1"/>
    <row r="5149" ht="42" customHeight="1"/>
    <row r="5150" ht="42" customHeight="1"/>
    <row r="5151" ht="42" customHeight="1"/>
    <row r="5152" ht="42" customHeight="1"/>
    <row r="5153" ht="42" customHeight="1"/>
    <row r="5154" ht="42" customHeight="1"/>
    <row r="5155" ht="42" customHeight="1"/>
    <row r="5156" ht="42" customHeight="1"/>
    <row r="5157" ht="42" customHeight="1"/>
    <row r="5158" ht="42" customHeight="1"/>
    <row r="5159" ht="42" customHeight="1"/>
    <row r="5160" ht="42" customHeight="1"/>
    <row r="5161" ht="42" customHeight="1"/>
    <row r="5162" ht="42" customHeight="1"/>
    <row r="5163" ht="42" customHeight="1"/>
    <row r="5164" ht="42" customHeight="1"/>
    <row r="5165" ht="42" customHeight="1"/>
    <row r="5166" ht="42" customHeight="1"/>
    <row r="5167" ht="42" customHeight="1"/>
    <row r="5168" ht="42" customHeight="1"/>
    <row r="5169" ht="42" customHeight="1"/>
    <row r="5170" ht="42" customHeight="1"/>
    <row r="5171" ht="42" customHeight="1"/>
    <row r="5172" ht="42" customHeight="1"/>
    <row r="5173" ht="42" customHeight="1"/>
    <row r="5174" ht="42" customHeight="1"/>
    <row r="5175" ht="42" customHeight="1"/>
    <row r="5176" ht="42" customHeight="1"/>
    <row r="5177" ht="42" customHeight="1"/>
    <row r="5178" ht="42" customHeight="1"/>
    <row r="5179" ht="42" customHeight="1"/>
    <row r="5180" ht="42" customHeight="1"/>
    <row r="5181" ht="42" customHeight="1"/>
    <row r="5182" ht="42" customHeight="1"/>
    <row r="5183" ht="42" customHeight="1"/>
    <row r="5184" ht="42" customHeight="1"/>
    <row r="5185" ht="42" customHeight="1"/>
    <row r="5186" ht="42" customHeight="1"/>
    <row r="5187" ht="42" customHeight="1"/>
    <row r="5188" ht="42" customHeight="1"/>
    <row r="5189" ht="42" customHeight="1"/>
    <row r="5190" ht="42" customHeight="1"/>
    <row r="5191" ht="42" customHeight="1"/>
    <row r="5192" ht="42" customHeight="1"/>
    <row r="5193" ht="42" customHeight="1"/>
    <row r="5194" ht="42" customHeight="1"/>
    <row r="5195" ht="42" customHeight="1"/>
    <row r="5196" ht="42" customHeight="1"/>
    <row r="5197" ht="42" customHeight="1"/>
    <row r="5198" ht="42" customHeight="1"/>
    <row r="5199" ht="42" customHeight="1"/>
    <row r="5200" ht="42" customHeight="1"/>
    <row r="5201" ht="42" customHeight="1"/>
    <row r="5202" ht="42" customHeight="1"/>
    <row r="5203" ht="42" customHeight="1"/>
    <row r="5204" ht="42" customHeight="1"/>
    <row r="5205" ht="42" customHeight="1"/>
    <row r="5206" ht="42" customHeight="1"/>
    <row r="5207" ht="42" customHeight="1"/>
    <row r="5208" ht="42" customHeight="1"/>
    <row r="5209" ht="42" customHeight="1"/>
    <row r="5210" ht="42" customHeight="1"/>
    <row r="5211" ht="42" customHeight="1"/>
    <row r="5212" ht="42" customHeight="1"/>
    <row r="5213" ht="42" customHeight="1"/>
    <row r="5214" ht="42" customHeight="1"/>
    <row r="5215" ht="42" customHeight="1"/>
    <row r="5216" ht="42" customHeight="1"/>
    <row r="5217" ht="42" customHeight="1"/>
    <row r="5218" ht="42" customHeight="1"/>
    <row r="5219" ht="42" customHeight="1"/>
    <row r="5220" ht="42" customHeight="1"/>
    <row r="5221" ht="42" customHeight="1"/>
    <row r="5222" ht="42" customHeight="1"/>
    <row r="5223" ht="42" customHeight="1"/>
    <row r="5224" ht="42" customHeight="1"/>
    <row r="5225" ht="42" customHeight="1"/>
    <row r="5226" ht="42" customHeight="1"/>
    <row r="5227" ht="42" customHeight="1"/>
    <row r="5228" ht="42" customHeight="1"/>
    <row r="5229" ht="42" customHeight="1"/>
    <row r="5230" ht="42" customHeight="1"/>
    <row r="5231" ht="42" customHeight="1"/>
    <row r="5232" ht="42" customHeight="1"/>
    <row r="5233" ht="42" customHeight="1"/>
    <row r="5234" ht="42" customHeight="1"/>
    <row r="5235" ht="42" customHeight="1"/>
    <row r="5236" ht="42" customHeight="1"/>
    <row r="5237" ht="42" customHeight="1"/>
    <row r="5238" ht="42" customHeight="1"/>
    <row r="5239" ht="42" customHeight="1"/>
    <row r="5240" ht="42" customHeight="1"/>
    <row r="5241" ht="42" customHeight="1"/>
    <row r="5242" ht="42" customHeight="1"/>
    <row r="5243" ht="42" customHeight="1"/>
    <row r="5244" ht="42" customHeight="1"/>
    <row r="5245" ht="42" customHeight="1"/>
    <row r="5246" ht="42" customHeight="1"/>
    <row r="5247" ht="42" customHeight="1"/>
    <row r="5248" ht="42" customHeight="1"/>
    <row r="5249" ht="42" customHeight="1"/>
    <row r="5250" ht="42" customHeight="1"/>
    <row r="5251" ht="42" customHeight="1"/>
    <row r="5252" ht="42" customHeight="1"/>
    <row r="5253" ht="42" customHeight="1"/>
    <row r="5254" ht="42" customHeight="1"/>
    <row r="5255" ht="42" customHeight="1"/>
    <row r="5256" ht="42" customHeight="1"/>
    <row r="5257" ht="42" customHeight="1"/>
    <row r="5258" ht="42" customHeight="1"/>
    <row r="5259" ht="42" customHeight="1"/>
    <row r="5260" ht="42" customHeight="1"/>
    <row r="5261" ht="42" customHeight="1"/>
    <row r="5262" ht="42" customHeight="1"/>
    <row r="5263" ht="42" customHeight="1"/>
    <row r="5264" ht="42" customHeight="1"/>
    <row r="5265" ht="42" customHeight="1"/>
    <row r="5266" ht="42" customHeight="1"/>
    <row r="5267" ht="42" customHeight="1"/>
    <row r="5268" ht="42" customHeight="1"/>
    <row r="5269" ht="42" customHeight="1"/>
    <row r="5270" ht="42" customHeight="1"/>
    <row r="5271" ht="42" customHeight="1"/>
    <row r="5272" ht="42" customHeight="1"/>
    <row r="5273" ht="42" customHeight="1"/>
    <row r="5274" ht="42" customHeight="1"/>
    <row r="5275" ht="42" customHeight="1"/>
    <row r="5276" ht="42" customHeight="1"/>
    <row r="5277" ht="42" customHeight="1"/>
    <row r="5278" ht="42" customHeight="1"/>
    <row r="5279" ht="42" customHeight="1"/>
    <row r="5280" ht="42" customHeight="1"/>
    <row r="5281" ht="42" customHeight="1"/>
    <row r="5282" ht="42" customHeight="1"/>
    <row r="5283" ht="42" customHeight="1"/>
    <row r="5284" ht="42" customHeight="1"/>
    <row r="5285" ht="42" customHeight="1"/>
    <row r="5286" ht="42" customHeight="1"/>
    <row r="5287" ht="42" customHeight="1"/>
    <row r="5288" ht="42" customHeight="1"/>
    <row r="5289" ht="42" customHeight="1"/>
    <row r="5290" ht="42" customHeight="1"/>
    <row r="5291" ht="42" customHeight="1"/>
    <row r="5292" ht="42" customHeight="1"/>
    <row r="5293" ht="42" customHeight="1"/>
    <row r="5294" ht="42" customHeight="1"/>
    <row r="5295" ht="42" customHeight="1"/>
    <row r="5296" ht="42" customHeight="1"/>
    <row r="5297" ht="42" customHeight="1"/>
    <row r="5298" ht="42" customHeight="1"/>
    <row r="5299" ht="42" customHeight="1"/>
    <row r="5300" ht="42" customHeight="1"/>
    <row r="5301" ht="42" customHeight="1"/>
    <row r="5302" ht="42" customHeight="1"/>
    <row r="5303" ht="42" customHeight="1"/>
    <row r="5304" ht="42" customHeight="1"/>
    <row r="5305" ht="42" customHeight="1"/>
    <row r="5306" ht="42" customHeight="1"/>
    <row r="5307" ht="42" customHeight="1"/>
    <row r="5308" ht="42" customHeight="1"/>
    <row r="5309" ht="42" customHeight="1"/>
    <row r="5310" ht="42" customHeight="1"/>
    <row r="5311" ht="42" customHeight="1"/>
    <row r="5312" ht="42" customHeight="1"/>
    <row r="5313" ht="42" customHeight="1"/>
    <row r="5314" ht="42" customHeight="1"/>
    <row r="5315" ht="42" customHeight="1"/>
    <row r="5316" ht="42" customHeight="1"/>
    <row r="5317" ht="42" customHeight="1"/>
    <row r="5318" ht="42" customHeight="1"/>
    <row r="5319" ht="42" customHeight="1"/>
    <row r="5320" ht="42" customHeight="1"/>
    <row r="5321" ht="42" customHeight="1"/>
    <row r="5322" ht="42" customHeight="1"/>
    <row r="5323" ht="42" customHeight="1"/>
    <row r="5324" ht="42" customHeight="1"/>
    <row r="5325" ht="42" customHeight="1"/>
    <row r="5326" ht="42" customHeight="1"/>
    <row r="5327" ht="42" customHeight="1"/>
    <row r="5328" ht="42" customHeight="1"/>
    <row r="5329" ht="42" customHeight="1"/>
    <row r="5330" ht="42" customHeight="1"/>
    <row r="5331" ht="42" customHeight="1"/>
    <row r="5332" ht="42" customHeight="1"/>
    <row r="5333" ht="42" customHeight="1"/>
    <row r="5334" ht="42" customHeight="1"/>
    <row r="5335" ht="42" customHeight="1"/>
    <row r="5336" ht="42" customHeight="1"/>
    <row r="5337" ht="42" customHeight="1"/>
    <row r="5338" ht="42" customHeight="1"/>
    <row r="5339" ht="42" customHeight="1"/>
    <row r="5340" ht="42" customHeight="1"/>
    <row r="5341" ht="42" customHeight="1"/>
    <row r="5342" ht="42" customHeight="1"/>
    <row r="5343" ht="42" customHeight="1"/>
    <row r="5344" ht="42" customHeight="1"/>
    <row r="5345" ht="42" customHeight="1"/>
    <row r="5346" ht="42" customHeight="1"/>
    <row r="5347" ht="42" customHeight="1"/>
    <row r="5348" ht="42" customHeight="1"/>
    <row r="5349" ht="42" customHeight="1"/>
    <row r="5350" ht="42" customHeight="1"/>
    <row r="5351" ht="42" customHeight="1"/>
    <row r="5352" ht="42" customHeight="1"/>
    <row r="5353" ht="42" customHeight="1"/>
    <row r="5354" ht="42" customHeight="1"/>
    <row r="5355" ht="42" customHeight="1"/>
    <row r="5356" ht="42" customHeight="1"/>
    <row r="5357" ht="42" customHeight="1"/>
    <row r="5358" ht="42" customHeight="1"/>
    <row r="5359" ht="42" customHeight="1"/>
    <row r="5360" ht="42" customHeight="1"/>
    <row r="5361" ht="42" customHeight="1"/>
    <row r="5362" ht="42" customHeight="1"/>
    <row r="5363" ht="42" customHeight="1"/>
    <row r="5364" ht="42" customHeight="1"/>
    <row r="5365" ht="42" customHeight="1"/>
    <row r="5366" ht="42" customHeight="1"/>
    <row r="5367" ht="42" customHeight="1"/>
    <row r="5368" ht="42" customHeight="1"/>
    <row r="5369" ht="42" customHeight="1"/>
    <row r="5370" ht="42" customHeight="1"/>
    <row r="5371" ht="42" customHeight="1"/>
    <row r="5372" ht="42" customHeight="1"/>
    <row r="5373" ht="42" customHeight="1"/>
    <row r="5374" ht="42" customHeight="1"/>
    <row r="5375" ht="42" customHeight="1"/>
    <row r="5376" ht="42" customHeight="1"/>
    <row r="5377" ht="42" customHeight="1"/>
    <row r="5378" ht="42" customHeight="1"/>
    <row r="5379" ht="42" customHeight="1"/>
    <row r="5380" ht="42" customHeight="1"/>
    <row r="5381" ht="42" customHeight="1"/>
    <row r="5382" ht="42" customHeight="1"/>
    <row r="5383" ht="42" customHeight="1"/>
    <row r="5384" ht="42" customHeight="1"/>
    <row r="5385" ht="42" customHeight="1"/>
    <row r="5386" ht="42" customHeight="1"/>
    <row r="5387" ht="42" customHeight="1"/>
    <row r="5388" ht="42" customHeight="1"/>
    <row r="5389" ht="42" customHeight="1"/>
    <row r="5390" ht="42" customHeight="1"/>
    <row r="5391" ht="42" customHeight="1"/>
    <row r="5392" ht="42" customHeight="1"/>
    <row r="5393" ht="42" customHeight="1"/>
    <row r="5394" ht="42" customHeight="1"/>
    <row r="5395" ht="42" customHeight="1"/>
    <row r="5396" ht="42" customHeight="1"/>
    <row r="5397" ht="42" customHeight="1"/>
    <row r="5398" ht="42" customHeight="1"/>
    <row r="5399" ht="42" customHeight="1"/>
    <row r="5400" ht="42" customHeight="1"/>
    <row r="5401" ht="42" customHeight="1"/>
    <row r="5402" ht="42" customHeight="1"/>
    <row r="5403" ht="42" customHeight="1"/>
    <row r="5404" ht="42" customHeight="1"/>
    <row r="5405" ht="42" customHeight="1"/>
    <row r="5406" ht="42" customHeight="1"/>
    <row r="5407" ht="42" customHeight="1"/>
    <row r="5408" ht="42" customHeight="1"/>
    <row r="5409" ht="42" customHeight="1"/>
    <row r="5410" ht="42" customHeight="1"/>
    <row r="5411" ht="42" customHeight="1"/>
    <row r="5412" ht="42" customHeight="1"/>
    <row r="5413" ht="42" customHeight="1"/>
    <row r="5414" ht="42" customHeight="1"/>
    <row r="5415" ht="42" customHeight="1"/>
    <row r="5416" ht="42" customHeight="1"/>
    <row r="5417" ht="42" customHeight="1"/>
    <row r="5418" ht="42" customHeight="1"/>
    <row r="5419" ht="42" customHeight="1"/>
    <row r="5420" ht="42" customHeight="1"/>
    <row r="5421" ht="42" customHeight="1"/>
    <row r="5422" ht="42" customHeight="1"/>
    <row r="5423" ht="42" customHeight="1"/>
    <row r="5424" ht="42" customHeight="1"/>
    <row r="5425" ht="42" customHeight="1"/>
    <row r="5426" ht="42" customHeight="1"/>
    <row r="5427" ht="42" customHeight="1"/>
    <row r="5428" ht="42" customHeight="1"/>
    <row r="5429" ht="42" customHeight="1"/>
    <row r="5430" ht="42" customHeight="1"/>
    <row r="5431" ht="42" customHeight="1"/>
    <row r="5432" ht="42" customHeight="1"/>
    <row r="5433" ht="42" customHeight="1"/>
    <row r="5434" ht="42" customHeight="1"/>
    <row r="5435" ht="42" customHeight="1"/>
    <row r="5436" ht="42" customHeight="1"/>
    <row r="5437" ht="42" customHeight="1"/>
    <row r="5438" ht="42" customHeight="1"/>
    <row r="5439" ht="42" customHeight="1"/>
    <row r="5440" ht="42" customHeight="1"/>
    <row r="5441" ht="42" customHeight="1"/>
    <row r="5442" ht="42" customHeight="1"/>
    <row r="5443" ht="42" customHeight="1"/>
    <row r="5444" ht="42" customHeight="1"/>
    <row r="5445" ht="42" customHeight="1"/>
    <row r="5446" ht="42" customHeight="1"/>
    <row r="5447" ht="42" customHeight="1"/>
    <row r="5448" ht="42" customHeight="1"/>
    <row r="5449" ht="42" customHeight="1"/>
    <row r="5450" ht="42" customHeight="1"/>
    <row r="5451" ht="42" customHeight="1"/>
    <row r="5452" ht="42" customHeight="1"/>
    <row r="5453" ht="42" customHeight="1"/>
    <row r="5454" ht="42" customHeight="1"/>
    <row r="5455" ht="42" customHeight="1"/>
    <row r="5456" ht="42" customHeight="1"/>
    <row r="5457" ht="42" customHeight="1"/>
    <row r="5458" ht="42" customHeight="1"/>
    <row r="5459" ht="42" customHeight="1"/>
    <row r="5460" ht="42" customHeight="1"/>
    <row r="5461" ht="42" customHeight="1"/>
    <row r="5462" ht="42" customHeight="1"/>
    <row r="5463" ht="42" customHeight="1"/>
    <row r="5464" ht="42" customHeight="1"/>
    <row r="5465" ht="42" customHeight="1"/>
    <row r="5466" ht="42" customHeight="1"/>
    <row r="5467" ht="42" customHeight="1"/>
    <row r="5468" ht="42" customHeight="1"/>
    <row r="5469" ht="42" customHeight="1"/>
    <row r="5470" ht="42" customHeight="1"/>
    <row r="5471" ht="42" customHeight="1"/>
    <row r="5472" ht="42" customHeight="1"/>
    <row r="5473" ht="42" customHeight="1"/>
    <row r="5474" ht="42" customHeight="1"/>
    <row r="5475" ht="42" customHeight="1"/>
    <row r="5476" ht="42" customHeight="1"/>
    <row r="5477" ht="42" customHeight="1"/>
    <row r="5478" ht="42" customHeight="1"/>
    <row r="5479" ht="42" customHeight="1"/>
    <row r="5480" ht="42" customHeight="1"/>
    <row r="5481" ht="42" customHeight="1"/>
    <row r="5482" ht="42" customHeight="1"/>
    <row r="5483" ht="42" customHeight="1"/>
    <row r="5484" ht="42" customHeight="1"/>
    <row r="5485" ht="42" customHeight="1"/>
    <row r="5486" ht="42" customHeight="1"/>
    <row r="5487" ht="42" customHeight="1"/>
    <row r="5488" ht="42" customHeight="1"/>
    <row r="5489" ht="42" customHeight="1"/>
    <row r="5490" ht="42" customHeight="1"/>
    <row r="5491" ht="42" customHeight="1"/>
    <row r="5492" ht="42" customHeight="1"/>
    <row r="5493" ht="42" customHeight="1"/>
    <row r="5494" ht="42" customHeight="1"/>
    <row r="5495" ht="42" customHeight="1"/>
    <row r="5496" ht="42" customHeight="1"/>
    <row r="5497" ht="42" customHeight="1"/>
    <row r="5498" ht="42" customHeight="1"/>
    <row r="5499" ht="42" customHeight="1"/>
    <row r="5500" ht="42" customHeight="1"/>
    <row r="5501" ht="42" customHeight="1"/>
    <row r="5502" ht="42" customHeight="1"/>
    <row r="5503" ht="42" customHeight="1"/>
    <row r="5504" ht="42" customHeight="1"/>
    <row r="5505" ht="42" customHeight="1"/>
    <row r="5506" ht="42" customHeight="1"/>
    <row r="5507" ht="42" customHeight="1"/>
    <row r="5508" ht="42" customHeight="1"/>
    <row r="5509" ht="42" customHeight="1"/>
    <row r="5510" ht="42" customHeight="1"/>
    <row r="5511" ht="42" customHeight="1"/>
    <row r="5512" ht="42" customHeight="1"/>
    <row r="5513" ht="42" customHeight="1"/>
    <row r="5514" ht="42" customHeight="1"/>
    <row r="5515" ht="42" customHeight="1"/>
    <row r="5516" ht="42" customHeight="1"/>
    <row r="5517" ht="42" customHeight="1"/>
    <row r="5518" ht="42" customHeight="1"/>
    <row r="5519" ht="42" customHeight="1"/>
    <row r="5520" ht="42" customHeight="1"/>
    <row r="5521" ht="42" customHeight="1"/>
    <row r="5522" ht="42" customHeight="1"/>
    <row r="5523" ht="42" customHeight="1"/>
    <row r="5524" ht="42" customHeight="1"/>
    <row r="5525" ht="42" customHeight="1"/>
    <row r="5526" ht="42" customHeight="1"/>
    <row r="5527" ht="42" customHeight="1"/>
    <row r="5528" ht="42" customHeight="1"/>
    <row r="5529" ht="42" customHeight="1"/>
    <row r="5530" ht="42" customHeight="1"/>
    <row r="5531" ht="42" customHeight="1"/>
    <row r="5532" ht="42" customHeight="1"/>
    <row r="5533" ht="42" customHeight="1"/>
    <row r="5534" ht="42" customHeight="1"/>
    <row r="5535" ht="42" customHeight="1"/>
    <row r="5536" ht="42" customHeight="1"/>
    <row r="5537" ht="42" customHeight="1"/>
    <row r="5538" ht="42" customHeight="1"/>
    <row r="5539" ht="42" customHeight="1"/>
    <row r="5540" ht="42" customHeight="1"/>
    <row r="5541" ht="42" customHeight="1"/>
    <row r="5542" ht="42" customHeight="1"/>
    <row r="5543" ht="42" customHeight="1"/>
    <row r="5544" ht="42" customHeight="1"/>
    <row r="5545" ht="42" customHeight="1"/>
    <row r="5546" ht="42" customHeight="1"/>
    <row r="5547" ht="42" customHeight="1"/>
    <row r="5548" ht="42" customHeight="1"/>
    <row r="5549" ht="42" customHeight="1"/>
    <row r="5550" ht="42" customHeight="1"/>
    <row r="5551" ht="42" customHeight="1"/>
    <row r="5552" ht="42" customHeight="1"/>
    <row r="5553" ht="42" customHeight="1"/>
    <row r="5554" ht="42" customHeight="1"/>
    <row r="5555" ht="42" customHeight="1"/>
    <row r="5556" ht="42" customHeight="1"/>
    <row r="5557" ht="42" customHeight="1"/>
    <row r="5558" ht="42" customHeight="1"/>
    <row r="5559" ht="42" customHeight="1"/>
    <row r="5560" ht="42" customHeight="1"/>
    <row r="5561" ht="42" customHeight="1"/>
    <row r="5562" ht="42" customHeight="1"/>
    <row r="5563" ht="42" customHeight="1"/>
    <row r="5564" ht="42" customHeight="1"/>
    <row r="5565" ht="42" customHeight="1"/>
    <row r="5566" ht="42" customHeight="1"/>
    <row r="5567" ht="42" customHeight="1"/>
    <row r="5568" ht="42" customHeight="1"/>
    <row r="5569" ht="42" customHeight="1"/>
    <row r="5570" ht="42" customHeight="1"/>
    <row r="5571" ht="42" customHeight="1"/>
    <row r="5572" ht="42" customHeight="1"/>
    <row r="5573" ht="42" customHeight="1"/>
    <row r="5574" ht="42" customHeight="1"/>
    <row r="5575" ht="42" customHeight="1"/>
    <row r="5576" ht="42" customHeight="1"/>
    <row r="5577" ht="42" customHeight="1"/>
    <row r="5578" ht="42" customHeight="1"/>
    <row r="5579" ht="42" customHeight="1"/>
    <row r="5580" ht="42" customHeight="1"/>
    <row r="5581" ht="42" customHeight="1"/>
    <row r="5582" ht="42" customHeight="1"/>
    <row r="5583" ht="42" customHeight="1"/>
    <row r="5584" ht="42" customHeight="1"/>
    <row r="5585" ht="42" customHeight="1"/>
    <row r="5586" ht="42" customHeight="1"/>
    <row r="5587" ht="42" customHeight="1"/>
    <row r="5588" ht="42" customHeight="1"/>
    <row r="5589" ht="42" customHeight="1"/>
    <row r="5590" ht="42" customHeight="1"/>
    <row r="5591" ht="42" customHeight="1"/>
    <row r="5592" ht="42" customHeight="1"/>
    <row r="5593" ht="42" customHeight="1"/>
    <row r="5594" ht="42" customHeight="1"/>
    <row r="5595" ht="42" customHeight="1"/>
    <row r="5596" ht="42" customHeight="1"/>
    <row r="5597" ht="42" customHeight="1"/>
    <row r="5598" ht="42" customHeight="1"/>
    <row r="5599" ht="42" customHeight="1"/>
    <row r="5600" ht="42" customHeight="1"/>
    <row r="5601" ht="42" customHeight="1"/>
    <row r="5602" ht="42" customHeight="1"/>
    <row r="5603" ht="42" customHeight="1"/>
    <row r="5604" ht="42" customHeight="1"/>
    <row r="5605" ht="42" customHeight="1"/>
    <row r="5606" ht="42" customHeight="1"/>
    <row r="5607" ht="42" customHeight="1"/>
    <row r="5608" ht="42" customHeight="1"/>
    <row r="5609" ht="42" customHeight="1"/>
    <row r="5610" ht="42" customHeight="1"/>
    <row r="5611" ht="42" customHeight="1"/>
    <row r="5612" ht="42" customHeight="1"/>
    <row r="5613" ht="42" customHeight="1"/>
    <row r="5614" ht="42" customHeight="1"/>
    <row r="5615" ht="42" customHeight="1"/>
    <row r="5616" ht="42" customHeight="1"/>
    <row r="5617" ht="42" customHeight="1"/>
    <row r="5618" ht="42" customHeight="1"/>
    <row r="5619" ht="42" customHeight="1"/>
    <row r="5620" ht="42" customHeight="1"/>
    <row r="5621" ht="42" customHeight="1"/>
    <row r="5622" ht="42" customHeight="1"/>
    <row r="5623" ht="42" customHeight="1"/>
    <row r="5624" ht="42" customHeight="1"/>
    <row r="5625" ht="42" customHeight="1"/>
    <row r="5626" ht="42" customHeight="1"/>
    <row r="5627" ht="42" customHeight="1"/>
    <row r="5628" ht="42" customHeight="1"/>
    <row r="5629" ht="42" customHeight="1"/>
    <row r="5630" ht="42" customHeight="1"/>
    <row r="5631" ht="42" customHeight="1"/>
    <row r="5632" ht="42" customHeight="1"/>
    <row r="5633" ht="42" customHeight="1"/>
    <row r="5634" ht="42" customHeight="1"/>
    <row r="5635" ht="42" customHeight="1"/>
    <row r="5636" ht="42" customHeight="1"/>
    <row r="5637" ht="42" customHeight="1"/>
    <row r="5638" ht="42" customHeight="1"/>
    <row r="5639" ht="42" customHeight="1"/>
    <row r="5640" ht="42" customHeight="1"/>
    <row r="5641" ht="42" customHeight="1"/>
    <row r="5642" ht="42" customHeight="1"/>
    <row r="5643" ht="42" customHeight="1"/>
    <row r="5644" ht="42" customHeight="1"/>
    <row r="5645" ht="42" customHeight="1"/>
    <row r="5646" ht="42" customHeight="1"/>
    <row r="5647" ht="42" customHeight="1"/>
    <row r="5648" ht="42" customHeight="1"/>
    <row r="5649" ht="42" customHeight="1"/>
    <row r="5650" ht="42" customHeight="1"/>
    <row r="5651" ht="42" customHeight="1"/>
    <row r="5652" ht="42" customHeight="1"/>
    <row r="5653" ht="42" customHeight="1"/>
    <row r="5654" ht="42" customHeight="1"/>
    <row r="5655" ht="42" customHeight="1"/>
    <row r="5656" ht="42" customHeight="1"/>
    <row r="5657" ht="42" customHeight="1"/>
    <row r="5658" ht="42" customHeight="1"/>
    <row r="5659" ht="42" customHeight="1"/>
    <row r="5660" ht="42" customHeight="1"/>
    <row r="5661" ht="42" customHeight="1"/>
    <row r="5662" ht="42" customHeight="1"/>
    <row r="5663" ht="42" customHeight="1"/>
    <row r="5664" ht="42" customHeight="1"/>
    <row r="5665" ht="42" customHeight="1"/>
    <row r="5666" ht="42" customHeight="1"/>
    <row r="5667" ht="42" customHeight="1"/>
    <row r="5668" ht="42" customHeight="1"/>
    <row r="5669" ht="42" customHeight="1"/>
    <row r="5670" ht="42" customHeight="1"/>
    <row r="5671" ht="42" customHeight="1"/>
    <row r="5672" ht="42" customHeight="1"/>
    <row r="5673" ht="42" customHeight="1"/>
    <row r="5674" ht="42" customHeight="1"/>
    <row r="5675" ht="42" customHeight="1"/>
    <row r="5676" ht="42" customHeight="1"/>
    <row r="5677" ht="42" customHeight="1"/>
    <row r="5678" ht="42" customHeight="1"/>
    <row r="5679" ht="42" customHeight="1"/>
    <row r="5680" ht="42" customHeight="1"/>
    <row r="5681" ht="42" customHeight="1"/>
    <row r="5682" ht="42" customHeight="1"/>
    <row r="5683" ht="42" customHeight="1"/>
    <row r="5684" ht="42" customHeight="1"/>
    <row r="5685" ht="42" customHeight="1"/>
    <row r="5686" ht="42" customHeight="1"/>
    <row r="5687" ht="42" customHeight="1"/>
    <row r="5688" ht="42" customHeight="1"/>
    <row r="5689" ht="42" customHeight="1"/>
    <row r="5690" ht="42" customHeight="1"/>
    <row r="5691" ht="42" customHeight="1"/>
    <row r="5692" ht="42" customHeight="1"/>
    <row r="5693" ht="42" customHeight="1"/>
    <row r="5694" ht="42" customHeight="1"/>
    <row r="5695" ht="42" customHeight="1"/>
    <row r="5696" ht="42" customHeight="1"/>
    <row r="5697" ht="42" customHeight="1"/>
    <row r="5698" ht="42" customHeight="1"/>
    <row r="5699" ht="42" customHeight="1"/>
    <row r="5700" ht="42" customHeight="1"/>
    <row r="5701" ht="42" customHeight="1"/>
    <row r="5702" ht="42" customHeight="1"/>
    <row r="5703" ht="42" customHeight="1"/>
    <row r="5704" ht="42" customHeight="1"/>
    <row r="5705" ht="42" customHeight="1"/>
    <row r="5706" ht="42" customHeight="1"/>
    <row r="5707" ht="42" customHeight="1"/>
    <row r="5708" ht="42" customHeight="1"/>
    <row r="5709" ht="42" customHeight="1"/>
    <row r="5710" ht="42" customHeight="1"/>
    <row r="5711" ht="42" customHeight="1"/>
    <row r="5712" ht="42" customHeight="1"/>
    <row r="5713" ht="42" customHeight="1"/>
    <row r="5714" ht="42" customHeight="1"/>
    <row r="5715" ht="42" customHeight="1"/>
    <row r="5716" ht="42" customHeight="1"/>
    <row r="5717" ht="42" customHeight="1"/>
    <row r="5718" ht="42" customHeight="1"/>
    <row r="5719" ht="42" customHeight="1"/>
    <row r="5720" ht="42" customHeight="1"/>
    <row r="5721" ht="42" customHeight="1"/>
    <row r="5722" ht="42" customHeight="1"/>
    <row r="5723" ht="42" customHeight="1"/>
    <row r="5724" ht="42" customHeight="1"/>
    <row r="5725" ht="42" customHeight="1"/>
    <row r="5726" ht="42" customHeight="1"/>
    <row r="5727" ht="42" customHeight="1"/>
    <row r="5728" ht="42" customHeight="1"/>
    <row r="5729" ht="42" customHeight="1"/>
    <row r="5730" ht="42" customHeight="1"/>
    <row r="5731" ht="42" customHeight="1"/>
    <row r="5732" ht="42" customHeight="1"/>
    <row r="5733" ht="42" customHeight="1"/>
    <row r="5734" ht="42" customHeight="1"/>
    <row r="5735" ht="42" customHeight="1"/>
    <row r="5736" ht="42" customHeight="1"/>
    <row r="5737" ht="42" customHeight="1"/>
    <row r="5738" ht="42" customHeight="1"/>
    <row r="5739" ht="42" customHeight="1"/>
    <row r="5740" ht="42" customHeight="1"/>
    <row r="5741" ht="42" customHeight="1"/>
    <row r="5742" ht="42" customHeight="1"/>
    <row r="5743" ht="42" customHeight="1"/>
    <row r="5744" ht="42" customHeight="1"/>
    <row r="5745" ht="42" customHeight="1"/>
    <row r="5746" ht="42" customHeight="1"/>
    <row r="5747" ht="42" customHeight="1"/>
    <row r="5748" ht="42" customHeight="1"/>
    <row r="5749" ht="42" customHeight="1"/>
    <row r="5750" ht="42" customHeight="1"/>
    <row r="5751" ht="42" customHeight="1"/>
    <row r="5752" ht="42" customHeight="1"/>
    <row r="5753" ht="42" customHeight="1"/>
    <row r="5754" ht="42" customHeight="1"/>
    <row r="5755" ht="42" customHeight="1"/>
    <row r="5756" ht="42" customHeight="1"/>
    <row r="5757" ht="42" customHeight="1"/>
    <row r="5758" ht="42" customHeight="1"/>
    <row r="5759" ht="42" customHeight="1"/>
    <row r="5760" ht="42" customHeight="1"/>
    <row r="5761" ht="42" customHeight="1"/>
    <row r="5762" ht="42" customHeight="1"/>
    <row r="5763" ht="42" customHeight="1"/>
    <row r="5764" ht="42" customHeight="1"/>
    <row r="5765" ht="42" customHeight="1"/>
    <row r="5766" ht="42" customHeight="1"/>
    <row r="5767" ht="42" customHeight="1"/>
    <row r="5768" ht="42" customHeight="1"/>
    <row r="5769" ht="42" customHeight="1"/>
    <row r="5770" ht="42" customHeight="1"/>
    <row r="5771" ht="42" customHeight="1"/>
    <row r="5772" ht="42" customHeight="1"/>
    <row r="5773" ht="42" customHeight="1"/>
    <row r="5774" ht="42" customHeight="1"/>
    <row r="5775" ht="42" customHeight="1"/>
    <row r="5776" ht="42" customHeight="1"/>
    <row r="5777" ht="42" customHeight="1"/>
    <row r="5778" ht="42" customHeight="1"/>
    <row r="5779" ht="42" customHeight="1"/>
    <row r="5780" ht="42" customHeight="1"/>
    <row r="5781" ht="42" customHeight="1"/>
    <row r="5782" ht="42" customHeight="1"/>
    <row r="5783" ht="42" customHeight="1"/>
    <row r="5784" ht="42" customHeight="1"/>
    <row r="5785" ht="42" customHeight="1"/>
    <row r="5786" ht="42" customHeight="1"/>
    <row r="5787" ht="42" customHeight="1"/>
    <row r="5788" ht="42" customHeight="1"/>
    <row r="5789" ht="42" customHeight="1"/>
    <row r="5790" ht="42" customHeight="1"/>
    <row r="5791" ht="42" customHeight="1"/>
    <row r="5792" ht="42" customHeight="1"/>
    <row r="5793" ht="42" customHeight="1"/>
    <row r="5794" ht="42" customHeight="1"/>
    <row r="5795" ht="42" customHeight="1"/>
    <row r="5796" ht="42" customHeight="1"/>
    <row r="5797" ht="42" customHeight="1"/>
    <row r="5798" ht="42" customHeight="1"/>
    <row r="5799" ht="42" customHeight="1"/>
    <row r="5800" ht="42" customHeight="1"/>
    <row r="5801" ht="42" customHeight="1"/>
    <row r="5802" ht="42" customHeight="1"/>
    <row r="5803" ht="42" customHeight="1"/>
    <row r="5804" ht="42" customHeight="1"/>
    <row r="5805" ht="42" customHeight="1"/>
    <row r="5806" ht="42" customHeight="1"/>
    <row r="5807" ht="42" customHeight="1"/>
    <row r="5808" ht="42" customHeight="1"/>
    <row r="5809" ht="42" customHeight="1"/>
    <row r="5810" ht="42" customHeight="1"/>
    <row r="5811" ht="42" customHeight="1"/>
    <row r="5812" ht="42" customHeight="1"/>
    <row r="5813" ht="42" customHeight="1"/>
    <row r="5814" ht="42" customHeight="1"/>
    <row r="5815" ht="42" customHeight="1"/>
    <row r="5816" ht="42" customHeight="1"/>
    <row r="5817" ht="42" customHeight="1"/>
    <row r="5818" ht="42" customHeight="1"/>
    <row r="5819" ht="42" customHeight="1"/>
    <row r="5820" ht="42" customHeight="1"/>
    <row r="5821" ht="42" customHeight="1"/>
    <row r="5822" ht="42" customHeight="1"/>
    <row r="5823" ht="42" customHeight="1"/>
    <row r="5824" ht="42" customHeight="1"/>
    <row r="5825" ht="42" customHeight="1"/>
    <row r="5826" ht="42" customHeight="1"/>
    <row r="5827" ht="42" customHeight="1"/>
    <row r="5828" ht="42" customHeight="1"/>
    <row r="5829" ht="42" customHeight="1"/>
    <row r="5830" ht="42" customHeight="1"/>
    <row r="5831" ht="42" customHeight="1"/>
    <row r="5832" ht="42" customHeight="1"/>
    <row r="5833" ht="42" customHeight="1"/>
    <row r="5834" ht="42" customHeight="1"/>
    <row r="5835" ht="42" customHeight="1"/>
    <row r="5836" ht="42" customHeight="1"/>
    <row r="5837" ht="42" customHeight="1"/>
    <row r="5838" ht="42" customHeight="1"/>
    <row r="5839" ht="42" customHeight="1"/>
    <row r="5840" ht="42" customHeight="1"/>
    <row r="5841" ht="42" customHeight="1"/>
    <row r="5842" ht="42" customHeight="1"/>
    <row r="5843" ht="42" customHeight="1"/>
    <row r="5844" ht="42" customHeight="1"/>
    <row r="5845" ht="42" customHeight="1"/>
    <row r="5846" ht="42" customHeight="1"/>
    <row r="5847" ht="42" customHeight="1"/>
    <row r="5848" ht="42" customHeight="1"/>
    <row r="5849" ht="42" customHeight="1"/>
    <row r="5850" ht="42" customHeight="1"/>
    <row r="5851" ht="42" customHeight="1"/>
    <row r="5852" ht="42" customHeight="1"/>
    <row r="5853" ht="42" customHeight="1"/>
    <row r="5854" ht="42" customHeight="1"/>
    <row r="5855" ht="42" customHeight="1"/>
    <row r="5856" ht="42" customHeight="1"/>
    <row r="5857" ht="42" customHeight="1"/>
    <row r="5858" ht="42" customHeight="1"/>
    <row r="5859" ht="42" customHeight="1"/>
    <row r="5860" ht="42" customHeight="1"/>
    <row r="5861" ht="42" customHeight="1"/>
    <row r="5862" ht="42" customHeight="1"/>
    <row r="5863" ht="42" customHeight="1"/>
    <row r="5864" ht="42" customHeight="1"/>
    <row r="5865" ht="42" customHeight="1"/>
    <row r="5866" ht="42" customHeight="1"/>
    <row r="5867" ht="42" customHeight="1"/>
    <row r="5868" ht="42" customHeight="1"/>
    <row r="5869" ht="42" customHeight="1"/>
    <row r="5870" ht="42" customHeight="1"/>
    <row r="5871" ht="42" customHeight="1"/>
    <row r="5872" ht="42" customHeight="1"/>
    <row r="5873" ht="42" customHeight="1"/>
    <row r="5874" ht="42" customHeight="1"/>
    <row r="5875" ht="42" customHeight="1"/>
    <row r="5876" ht="42" customHeight="1"/>
    <row r="5877" ht="42" customHeight="1"/>
    <row r="5878" ht="42" customHeight="1"/>
    <row r="5879" ht="42" customHeight="1"/>
    <row r="5880" ht="42" customHeight="1"/>
    <row r="5881" ht="42" customHeight="1"/>
    <row r="5882" ht="42" customHeight="1"/>
    <row r="5883" ht="42" customHeight="1"/>
    <row r="5884" ht="42" customHeight="1"/>
    <row r="5885" ht="42" customHeight="1"/>
    <row r="5886" ht="42" customHeight="1"/>
    <row r="5887" ht="42" customHeight="1"/>
    <row r="5888" ht="42" customHeight="1"/>
    <row r="5889" ht="42" customHeight="1"/>
    <row r="5890" ht="42" customHeight="1"/>
    <row r="5891" ht="42" customHeight="1"/>
    <row r="5892" ht="42" customHeight="1"/>
    <row r="5893" ht="42" customHeight="1"/>
    <row r="5894" ht="42" customHeight="1"/>
    <row r="5895" ht="42" customHeight="1"/>
    <row r="5896" ht="42" customHeight="1"/>
    <row r="5897" ht="42" customHeight="1"/>
    <row r="5898" ht="42" customHeight="1"/>
    <row r="5899" ht="42" customHeight="1"/>
    <row r="5900" ht="42" customHeight="1"/>
    <row r="5901" ht="42" customHeight="1"/>
    <row r="5902" ht="42" customHeight="1"/>
    <row r="5903" ht="42" customHeight="1"/>
    <row r="5904" ht="42" customHeight="1"/>
    <row r="5905" ht="42" customHeight="1"/>
    <row r="5906" ht="42" customHeight="1"/>
    <row r="5907" ht="42" customHeight="1"/>
    <row r="5908" ht="42" customHeight="1"/>
    <row r="5909" ht="42" customHeight="1"/>
    <row r="5910" ht="42" customHeight="1"/>
    <row r="5911" ht="42" customHeight="1"/>
    <row r="5912" ht="42" customHeight="1"/>
    <row r="5913" ht="42" customHeight="1"/>
    <row r="5914" ht="42" customHeight="1"/>
    <row r="5915" ht="42" customHeight="1"/>
    <row r="5916" ht="42" customHeight="1"/>
    <row r="5917" ht="42" customHeight="1"/>
    <row r="5918" ht="42" customHeight="1"/>
    <row r="5919" ht="42" customHeight="1"/>
    <row r="5920" ht="42" customHeight="1"/>
    <row r="5921" ht="42" customHeight="1"/>
    <row r="5922" ht="42" customHeight="1"/>
    <row r="5923" ht="42" customHeight="1"/>
    <row r="5924" ht="42" customHeight="1"/>
    <row r="5925" ht="42" customHeight="1"/>
    <row r="5926" ht="42" customHeight="1"/>
    <row r="5927" ht="42" customHeight="1"/>
    <row r="5928" ht="42" customHeight="1"/>
    <row r="5929" ht="42" customHeight="1"/>
    <row r="5930" ht="42" customHeight="1"/>
    <row r="5931" ht="42" customHeight="1"/>
    <row r="5932" ht="42" customHeight="1"/>
    <row r="5933" ht="42" customHeight="1"/>
    <row r="5934" ht="42" customHeight="1"/>
    <row r="5935" ht="42" customHeight="1"/>
    <row r="5936" ht="42" customHeight="1"/>
    <row r="5937" ht="42" customHeight="1"/>
    <row r="5938" ht="42" customHeight="1"/>
    <row r="5939" ht="42" customHeight="1"/>
    <row r="5940" ht="42" customHeight="1"/>
    <row r="5941" ht="42" customHeight="1"/>
    <row r="5942" ht="42" customHeight="1"/>
    <row r="5943" ht="42" customHeight="1"/>
    <row r="5944" ht="42" customHeight="1"/>
    <row r="5945" ht="42" customHeight="1"/>
    <row r="5946" ht="42" customHeight="1"/>
    <row r="5947" ht="42" customHeight="1"/>
    <row r="5948" ht="42" customHeight="1"/>
    <row r="5949" ht="42" customHeight="1"/>
    <row r="5950" ht="42" customHeight="1"/>
    <row r="5951" ht="42" customHeight="1"/>
    <row r="5952" ht="42" customHeight="1"/>
    <row r="5953" ht="42" customHeight="1"/>
    <row r="5954" ht="42" customHeight="1"/>
    <row r="5955" ht="42" customHeight="1"/>
    <row r="5956" ht="42" customHeight="1"/>
    <row r="5957" ht="42" customHeight="1"/>
    <row r="5958" ht="42" customHeight="1"/>
    <row r="5959" ht="42" customHeight="1"/>
    <row r="5960" ht="42" customHeight="1"/>
    <row r="5961" ht="42" customHeight="1"/>
    <row r="5962" ht="42" customHeight="1"/>
    <row r="5963" ht="42" customHeight="1"/>
    <row r="5964" ht="42" customHeight="1"/>
    <row r="5965" ht="42" customHeight="1"/>
    <row r="5966" ht="42" customHeight="1"/>
    <row r="5967" ht="42" customHeight="1"/>
    <row r="5968" ht="42" customHeight="1"/>
    <row r="5969" ht="42" customHeight="1"/>
    <row r="5970" ht="42" customHeight="1"/>
    <row r="5971" ht="42" customHeight="1"/>
    <row r="5972" ht="42" customHeight="1"/>
    <row r="5973" ht="42" customHeight="1"/>
    <row r="5974" ht="42" customHeight="1"/>
    <row r="5975" ht="42" customHeight="1"/>
    <row r="5976" ht="42" customHeight="1"/>
    <row r="5977" ht="42" customHeight="1"/>
    <row r="5978" ht="42" customHeight="1"/>
    <row r="5979" ht="42" customHeight="1"/>
    <row r="5980" ht="42" customHeight="1"/>
    <row r="5981" ht="42" customHeight="1"/>
    <row r="5982" ht="42" customHeight="1"/>
    <row r="5983" ht="42" customHeight="1"/>
    <row r="5984" ht="42" customHeight="1"/>
    <row r="5985" ht="42" customHeight="1"/>
    <row r="5986" ht="42" customHeight="1"/>
    <row r="5987" ht="42" customHeight="1"/>
    <row r="5988" ht="42" customHeight="1"/>
    <row r="5989" ht="42" customHeight="1"/>
    <row r="5990" ht="42" customHeight="1"/>
    <row r="5991" ht="42" customHeight="1"/>
    <row r="5992" ht="42" customHeight="1"/>
    <row r="5993" ht="42" customHeight="1"/>
    <row r="5994" ht="42" customHeight="1"/>
    <row r="5995" ht="42" customHeight="1"/>
    <row r="5996" ht="42" customHeight="1"/>
    <row r="5997" ht="42" customHeight="1"/>
    <row r="5998" ht="42" customHeight="1"/>
    <row r="5999" ht="42" customHeight="1"/>
    <row r="6000" ht="42" customHeight="1"/>
    <row r="6001" ht="42" customHeight="1"/>
    <row r="6002" ht="42" customHeight="1"/>
    <row r="6003" ht="42" customHeight="1"/>
    <row r="6004" ht="42" customHeight="1"/>
    <row r="6005" ht="42" customHeight="1"/>
    <row r="6006" ht="42" customHeight="1"/>
    <row r="6007" ht="42" customHeight="1"/>
    <row r="6008" ht="42" customHeight="1"/>
    <row r="6009" ht="42" customHeight="1"/>
    <row r="6010" ht="42" customHeight="1"/>
    <row r="6011" ht="42" customHeight="1"/>
    <row r="6012" ht="42" customHeight="1"/>
    <row r="6013" ht="42" customHeight="1"/>
    <row r="6014" ht="42" customHeight="1"/>
    <row r="6015" ht="42" customHeight="1"/>
    <row r="6016" ht="42" customHeight="1"/>
    <row r="6017" ht="42" customHeight="1"/>
    <row r="6018" ht="42" customHeight="1"/>
    <row r="6019" ht="42" customHeight="1"/>
    <row r="6020" ht="42" customHeight="1"/>
    <row r="6021" ht="42" customHeight="1"/>
    <row r="6022" ht="42" customHeight="1"/>
    <row r="6023" ht="42" customHeight="1"/>
    <row r="6024" ht="42" customHeight="1"/>
    <row r="6025" ht="42" customHeight="1"/>
    <row r="6026" ht="42" customHeight="1"/>
    <row r="6027" ht="42" customHeight="1"/>
    <row r="6028" ht="42" customHeight="1"/>
    <row r="6029" ht="42" customHeight="1"/>
    <row r="6030" ht="42" customHeight="1"/>
    <row r="6031" ht="42" customHeight="1"/>
    <row r="6032" ht="42" customHeight="1"/>
    <row r="6033" ht="42" customHeight="1"/>
    <row r="6034" ht="42" customHeight="1"/>
    <row r="6035" ht="42" customHeight="1"/>
    <row r="6036" ht="42" customHeight="1"/>
    <row r="6037" ht="42" customHeight="1"/>
    <row r="6038" ht="42" customHeight="1"/>
    <row r="6039" ht="42" customHeight="1"/>
    <row r="6040" ht="42" customHeight="1"/>
    <row r="6041" ht="42" customHeight="1"/>
    <row r="6042" ht="42" customHeight="1"/>
    <row r="6043" ht="42" customHeight="1"/>
    <row r="6044" ht="42" customHeight="1"/>
    <row r="6045" ht="42" customHeight="1"/>
    <row r="6046" ht="42" customHeight="1"/>
    <row r="6047" ht="42" customHeight="1"/>
    <row r="6048" ht="42" customHeight="1"/>
    <row r="6049" ht="42" customHeight="1"/>
    <row r="6050" ht="42" customHeight="1"/>
    <row r="6051" ht="42" customHeight="1"/>
    <row r="6052" ht="42" customHeight="1"/>
    <row r="6053" ht="42" customHeight="1"/>
    <row r="6054" ht="42" customHeight="1"/>
    <row r="6055" ht="42" customHeight="1"/>
    <row r="6056" ht="42" customHeight="1"/>
    <row r="6057" ht="42" customHeight="1"/>
    <row r="6058" ht="42" customHeight="1"/>
    <row r="6059" ht="42" customHeight="1"/>
    <row r="6060" ht="42" customHeight="1"/>
    <row r="6061" ht="42" customHeight="1"/>
    <row r="6062" ht="42" customHeight="1"/>
    <row r="6063" ht="42" customHeight="1"/>
    <row r="6064" ht="42" customHeight="1"/>
    <row r="6065" ht="42" customHeight="1"/>
    <row r="6066" ht="42" customHeight="1"/>
    <row r="6067" ht="42" customHeight="1"/>
    <row r="6068" ht="42" customHeight="1"/>
    <row r="6069" ht="42" customHeight="1"/>
    <row r="6070" ht="42" customHeight="1"/>
    <row r="6071" ht="42" customHeight="1"/>
    <row r="6072" ht="42" customHeight="1"/>
    <row r="6073" ht="42" customHeight="1"/>
    <row r="6074" ht="42" customHeight="1"/>
    <row r="6075" ht="42" customHeight="1"/>
    <row r="6076" ht="42" customHeight="1"/>
    <row r="6077" ht="42" customHeight="1"/>
    <row r="6078" ht="42" customHeight="1"/>
    <row r="6079" ht="42" customHeight="1"/>
    <row r="6080" ht="42" customHeight="1"/>
    <row r="6081" ht="42" customHeight="1"/>
    <row r="6082" ht="42" customHeight="1"/>
    <row r="6083" ht="42" customHeight="1"/>
    <row r="6084" ht="42" customHeight="1"/>
    <row r="6085" ht="42" customHeight="1"/>
    <row r="6086" ht="42" customHeight="1"/>
    <row r="6087" ht="42" customHeight="1"/>
    <row r="6088" ht="42" customHeight="1"/>
    <row r="6089" ht="42" customHeight="1"/>
    <row r="6090" ht="42" customHeight="1"/>
    <row r="6091" ht="42" customHeight="1"/>
    <row r="6092" ht="42" customHeight="1"/>
    <row r="6093" ht="42" customHeight="1"/>
    <row r="6094" ht="42" customHeight="1"/>
    <row r="6095" ht="42" customHeight="1"/>
    <row r="6096" ht="42" customHeight="1"/>
    <row r="6097" ht="42" customHeight="1"/>
    <row r="6098" ht="42" customHeight="1"/>
    <row r="6099" ht="42" customHeight="1"/>
    <row r="6100" ht="42" customHeight="1"/>
    <row r="6101" ht="42" customHeight="1"/>
    <row r="6102" ht="42" customHeight="1"/>
    <row r="6103" ht="42" customHeight="1"/>
    <row r="6104" ht="42" customHeight="1"/>
    <row r="6105" ht="42" customHeight="1"/>
    <row r="6106" ht="42" customHeight="1"/>
    <row r="6107" ht="42" customHeight="1"/>
    <row r="6108" ht="42" customHeight="1"/>
    <row r="6109" ht="42" customHeight="1"/>
    <row r="6110" ht="42" customHeight="1"/>
    <row r="6111" ht="42" customHeight="1"/>
    <row r="6112" ht="42" customHeight="1"/>
    <row r="6113" ht="42" customHeight="1"/>
    <row r="6114" ht="42" customHeight="1"/>
    <row r="6115" ht="42" customHeight="1"/>
    <row r="6116" ht="42" customHeight="1"/>
    <row r="6117" ht="42" customHeight="1"/>
    <row r="6118" ht="42" customHeight="1"/>
    <row r="6119" ht="42" customHeight="1"/>
    <row r="6120" ht="42" customHeight="1"/>
    <row r="6121" ht="42" customHeight="1"/>
    <row r="6122" ht="42" customHeight="1"/>
    <row r="6123" ht="42" customHeight="1"/>
    <row r="6124" ht="42" customHeight="1"/>
    <row r="6125" ht="42" customHeight="1"/>
    <row r="6126" ht="42" customHeight="1"/>
    <row r="6127" ht="42" customHeight="1"/>
    <row r="6128" ht="42" customHeight="1"/>
    <row r="6129" ht="42" customHeight="1"/>
    <row r="6130" ht="42" customHeight="1"/>
    <row r="6131" ht="42" customHeight="1"/>
    <row r="6132" ht="42" customHeight="1"/>
    <row r="6133" ht="42" customHeight="1"/>
    <row r="6134" ht="42" customHeight="1"/>
    <row r="6135" ht="42" customHeight="1"/>
    <row r="6136" ht="42" customHeight="1"/>
    <row r="6137" ht="42" customHeight="1"/>
    <row r="6138" ht="42" customHeight="1"/>
    <row r="6139" ht="42" customHeight="1"/>
    <row r="6140" ht="42" customHeight="1"/>
    <row r="6141" ht="42" customHeight="1"/>
    <row r="6142" ht="42" customHeight="1"/>
    <row r="6143" ht="42" customHeight="1"/>
    <row r="6144" ht="42" customHeight="1"/>
    <row r="6145" ht="42" customHeight="1"/>
    <row r="6146" ht="42" customHeight="1"/>
    <row r="6147" ht="42" customHeight="1"/>
    <row r="6148" ht="42" customHeight="1"/>
    <row r="6149" ht="42" customHeight="1"/>
    <row r="6150" ht="42" customHeight="1"/>
    <row r="6151" ht="42" customHeight="1"/>
    <row r="6152" ht="42" customHeight="1"/>
    <row r="6153" ht="42" customHeight="1"/>
    <row r="6154" ht="42" customHeight="1"/>
    <row r="6155" ht="42" customHeight="1"/>
    <row r="6156" ht="42" customHeight="1"/>
    <row r="6157" ht="42" customHeight="1"/>
    <row r="6158" ht="42" customHeight="1"/>
    <row r="6159" ht="42" customHeight="1"/>
    <row r="6160" ht="42" customHeight="1"/>
    <row r="6161" ht="42" customHeight="1"/>
    <row r="6162" ht="42" customHeight="1"/>
    <row r="6163" ht="42" customHeight="1"/>
    <row r="6164" ht="42" customHeight="1"/>
    <row r="6165" ht="42" customHeight="1"/>
    <row r="6166" ht="42" customHeight="1"/>
    <row r="6167" ht="42" customHeight="1"/>
    <row r="6168" ht="42" customHeight="1"/>
    <row r="6169" ht="42" customHeight="1"/>
    <row r="6170" ht="42" customHeight="1"/>
    <row r="6171" ht="42" customHeight="1"/>
    <row r="6172" ht="42" customHeight="1"/>
    <row r="6173" ht="42" customHeight="1"/>
    <row r="6174" ht="42" customHeight="1"/>
    <row r="6175" ht="42" customHeight="1"/>
    <row r="6176" ht="42" customHeight="1"/>
    <row r="6177" ht="42" customHeight="1"/>
    <row r="6178" ht="42" customHeight="1"/>
    <row r="6179" ht="42" customHeight="1"/>
    <row r="6180" ht="42" customHeight="1"/>
    <row r="6181" ht="42" customHeight="1"/>
    <row r="6182" ht="42" customHeight="1"/>
    <row r="6183" ht="42" customHeight="1"/>
    <row r="6184" ht="42" customHeight="1"/>
    <row r="6185" ht="42" customHeight="1"/>
    <row r="6186" ht="42" customHeight="1"/>
    <row r="6187" ht="42" customHeight="1"/>
    <row r="6188" ht="42" customHeight="1"/>
    <row r="6189" ht="42" customHeight="1"/>
    <row r="6190" ht="42" customHeight="1"/>
    <row r="6191" ht="42" customHeight="1"/>
    <row r="6192" ht="42" customHeight="1"/>
    <row r="6193" ht="42" customHeight="1"/>
    <row r="6194" ht="42" customHeight="1"/>
    <row r="6195" ht="42" customHeight="1"/>
    <row r="6196" ht="42" customHeight="1"/>
    <row r="6197" ht="42" customHeight="1"/>
    <row r="6198" ht="42" customHeight="1"/>
    <row r="6199" ht="42" customHeight="1"/>
    <row r="6200" ht="42" customHeight="1"/>
    <row r="6201" ht="42" customHeight="1"/>
    <row r="6202" ht="42" customHeight="1"/>
    <row r="6203" ht="42" customHeight="1"/>
    <row r="6204" ht="42" customHeight="1"/>
    <row r="6205" ht="42" customHeight="1"/>
    <row r="6206" ht="42" customHeight="1"/>
    <row r="6207" ht="42" customHeight="1"/>
    <row r="6208" ht="42" customHeight="1"/>
    <row r="6209" ht="42" customHeight="1"/>
    <row r="6210" ht="42" customHeight="1"/>
    <row r="6211" ht="42" customHeight="1"/>
    <row r="6212" ht="42" customHeight="1"/>
    <row r="6213" ht="42" customHeight="1"/>
    <row r="6214" ht="42" customHeight="1"/>
    <row r="6215" ht="42" customHeight="1"/>
    <row r="6216" ht="42" customHeight="1"/>
    <row r="6217" ht="42" customHeight="1"/>
    <row r="6218" ht="42" customHeight="1"/>
    <row r="6219" ht="42" customHeight="1"/>
    <row r="6220" ht="42" customHeight="1"/>
    <row r="6221" ht="42" customHeight="1"/>
    <row r="6222" ht="42" customHeight="1"/>
    <row r="6223" ht="42" customHeight="1"/>
    <row r="6224" ht="42" customHeight="1"/>
    <row r="6225" ht="42" customHeight="1"/>
    <row r="6226" ht="42" customHeight="1"/>
    <row r="6227" ht="42" customHeight="1"/>
    <row r="6228" ht="42" customHeight="1"/>
    <row r="6229" ht="42" customHeight="1"/>
    <row r="6230" ht="42" customHeight="1"/>
    <row r="6231" ht="42" customHeight="1"/>
    <row r="6232" ht="42" customHeight="1"/>
    <row r="6233" ht="42" customHeight="1"/>
    <row r="6234" ht="42" customHeight="1"/>
    <row r="6235" ht="42" customHeight="1"/>
    <row r="6236" ht="42" customHeight="1"/>
    <row r="6237" ht="42" customHeight="1"/>
    <row r="6238" ht="42" customHeight="1"/>
    <row r="6239" ht="42" customHeight="1"/>
    <row r="6240" ht="42" customHeight="1"/>
    <row r="6241" ht="42" customHeight="1"/>
    <row r="6242" ht="42" customHeight="1"/>
    <row r="6243" ht="42" customHeight="1"/>
    <row r="6244" ht="42" customHeight="1"/>
    <row r="6245" ht="42" customHeight="1"/>
    <row r="6246" ht="42" customHeight="1"/>
    <row r="6247" ht="42" customHeight="1"/>
    <row r="6248" ht="42" customHeight="1"/>
    <row r="6249" ht="42" customHeight="1"/>
    <row r="6250" ht="42" customHeight="1"/>
    <row r="6251" ht="42" customHeight="1"/>
    <row r="6252" ht="42" customHeight="1"/>
    <row r="6253" ht="42" customHeight="1"/>
    <row r="6254" ht="42" customHeight="1"/>
    <row r="6255" ht="42" customHeight="1"/>
    <row r="6256" ht="42" customHeight="1"/>
    <row r="6257" ht="42" customHeight="1"/>
    <row r="6258" ht="42" customHeight="1"/>
    <row r="6259" ht="42" customHeight="1"/>
    <row r="6260" ht="42" customHeight="1"/>
    <row r="6261" ht="42" customHeight="1"/>
    <row r="6262" ht="42" customHeight="1"/>
    <row r="6263" ht="42" customHeight="1"/>
    <row r="6264" ht="42" customHeight="1"/>
    <row r="6265" ht="42" customHeight="1"/>
    <row r="6266" ht="42" customHeight="1"/>
    <row r="6267" ht="42" customHeight="1"/>
    <row r="6268" ht="42" customHeight="1"/>
    <row r="6269" ht="42" customHeight="1"/>
    <row r="6270" ht="42" customHeight="1"/>
    <row r="6271" ht="42" customHeight="1"/>
    <row r="6272" ht="42" customHeight="1"/>
    <row r="6273" ht="42" customHeight="1"/>
    <row r="6274" ht="42" customHeight="1"/>
    <row r="6275" ht="42" customHeight="1"/>
    <row r="6276" ht="42" customHeight="1"/>
    <row r="6277" ht="42" customHeight="1"/>
    <row r="6278" ht="42" customHeight="1"/>
    <row r="6279" ht="42" customHeight="1"/>
    <row r="6280" ht="42" customHeight="1"/>
    <row r="6281" ht="42" customHeight="1"/>
    <row r="6282" ht="42" customHeight="1"/>
    <row r="6283" ht="42" customHeight="1"/>
    <row r="6284" ht="42" customHeight="1"/>
    <row r="6285" ht="42" customHeight="1"/>
    <row r="6286" ht="42" customHeight="1"/>
    <row r="6287" ht="42" customHeight="1"/>
    <row r="6288" ht="42" customHeight="1"/>
    <row r="6289" ht="42" customHeight="1"/>
    <row r="6290" ht="42" customHeight="1"/>
    <row r="6291" ht="42" customHeight="1"/>
    <row r="6292" ht="42" customHeight="1"/>
    <row r="6293" ht="42" customHeight="1"/>
    <row r="6294" ht="42" customHeight="1"/>
    <row r="6295" ht="42" customHeight="1"/>
    <row r="6296" ht="42" customHeight="1"/>
    <row r="6297" ht="42" customHeight="1"/>
    <row r="6298" ht="42" customHeight="1"/>
    <row r="6299" ht="42" customHeight="1"/>
    <row r="6300" ht="42" customHeight="1"/>
    <row r="6301" ht="42" customHeight="1"/>
    <row r="6302" ht="42" customHeight="1"/>
    <row r="6303" ht="42" customHeight="1"/>
    <row r="6304" ht="42" customHeight="1"/>
    <row r="6305" ht="42" customHeight="1"/>
    <row r="6306" ht="42" customHeight="1"/>
    <row r="6307" ht="42" customHeight="1"/>
    <row r="6308" ht="42" customHeight="1"/>
    <row r="6309" ht="42" customHeight="1"/>
    <row r="6310" ht="42" customHeight="1"/>
    <row r="6311" ht="42" customHeight="1"/>
    <row r="6312" ht="42" customHeight="1"/>
    <row r="6313" ht="42" customHeight="1"/>
    <row r="6314" ht="42" customHeight="1"/>
    <row r="6315" ht="42" customHeight="1"/>
    <row r="6316" ht="42" customHeight="1"/>
    <row r="6317" ht="42" customHeight="1"/>
    <row r="6318" ht="42" customHeight="1"/>
    <row r="6319" ht="42" customHeight="1"/>
    <row r="6320" ht="42" customHeight="1"/>
    <row r="6321" ht="42" customHeight="1"/>
    <row r="6322" ht="42" customHeight="1"/>
    <row r="6323" ht="42" customHeight="1"/>
    <row r="6324" ht="42" customHeight="1"/>
    <row r="6325" ht="42" customHeight="1"/>
    <row r="6326" ht="42" customHeight="1"/>
    <row r="6327" ht="42" customHeight="1"/>
    <row r="6328" ht="42" customHeight="1"/>
    <row r="6329" ht="42" customHeight="1"/>
    <row r="6330" ht="42" customHeight="1"/>
    <row r="6331" ht="42" customHeight="1"/>
    <row r="6332" ht="42" customHeight="1"/>
    <row r="6333" ht="42" customHeight="1"/>
    <row r="6334" ht="42" customHeight="1"/>
    <row r="6335" ht="42" customHeight="1"/>
    <row r="6336" ht="42" customHeight="1"/>
    <row r="6337" ht="42" customHeight="1"/>
    <row r="6338" ht="42" customHeight="1"/>
    <row r="6339" ht="42" customHeight="1"/>
    <row r="6340" ht="42" customHeight="1"/>
    <row r="6341" ht="42" customHeight="1"/>
    <row r="6342" ht="42" customHeight="1"/>
    <row r="6343" ht="42" customHeight="1"/>
    <row r="6344" ht="42" customHeight="1"/>
    <row r="6345" ht="42" customHeight="1"/>
    <row r="6346" ht="42" customHeight="1"/>
    <row r="6347" ht="42" customHeight="1"/>
    <row r="6348" ht="42" customHeight="1"/>
    <row r="6349" ht="42" customHeight="1"/>
    <row r="6350" ht="42" customHeight="1"/>
    <row r="6351" ht="42" customHeight="1"/>
    <row r="6352" ht="42" customHeight="1"/>
    <row r="6353" ht="42" customHeight="1"/>
    <row r="6354" ht="42" customHeight="1"/>
    <row r="6355" ht="42" customHeight="1"/>
    <row r="6356" ht="42" customHeight="1"/>
    <row r="6357" ht="42" customHeight="1"/>
    <row r="6358" ht="42" customHeight="1"/>
    <row r="6359" ht="42" customHeight="1"/>
    <row r="6360" ht="42" customHeight="1"/>
    <row r="6361" ht="42" customHeight="1"/>
    <row r="6362" ht="42" customHeight="1"/>
    <row r="6363" ht="42" customHeight="1"/>
    <row r="6364" ht="42" customHeight="1"/>
    <row r="6365" ht="42" customHeight="1"/>
    <row r="6366" ht="42" customHeight="1"/>
    <row r="6367" ht="42" customHeight="1"/>
    <row r="6368" ht="42" customHeight="1"/>
    <row r="6369" ht="42" customHeight="1"/>
    <row r="6370" ht="42" customHeight="1"/>
    <row r="6371" ht="42" customHeight="1"/>
    <row r="6372" ht="42" customHeight="1"/>
    <row r="6373" ht="42" customHeight="1"/>
    <row r="6374" ht="42" customHeight="1"/>
    <row r="6375" ht="42" customHeight="1"/>
    <row r="6376" ht="42" customHeight="1"/>
    <row r="6377" ht="42" customHeight="1"/>
    <row r="6378" ht="42" customHeight="1"/>
    <row r="6379" ht="42" customHeight="1"/>
    <row r="6380" ht="42" customHeight="1"/>
    <row r="6381" ht="42" customHeight="1"/>
    <row r="6382" ht="42" customHeight="1"/>
    <row r="6383" ht="42" customHeight="1"/>
    <row r="6384" ht="42" customHeight="1"/>
    <row r="6385" ht="42" customHeight="1"/>
    <row r="6386" ht="42" customHeight="1"/>
    <row r="6387" ht="42" customHeight="1"/>
    <row r="6388" ht="42" customHeight="1"/>
    <row r="6389" ht="42" customHeight="1"/>
    <row r="6390" ht="42" customHeight="1"/>
    <row r="6391" ht="42" customHeight="1"/>
    <row r="6392" ht="42" customHeight="1"/>
    <row r="6393" ht="42" customHeight="1"/>
    <row r="6394" ht="42" customHeight="1"/>
    <row r="6395" ht="42" customHeight="1"/>
    <row r="6396" ht="42" customHeight="1"/>
    <row r="6397" ht="42" customHeight="1"/>
    <row r="6398" ht="42" customHeight="1"/>
    <row r="6399" ht="42" customHeight="1"/>
    <row r="6400" ht="42" customHeight="1"/>
    <row r="6401" ht="42" customHeight="1"/>
    <row r="6402" ht="42" customHeight="1"/>
    <row r="6403" ht="42" customHeight="1"/>
    <row r="6404" ht="42" customHeight="1"/>
    <row r="6405" ht="42" customHeight="1"/>
    <row r="6406" ht="42" customHeight="1"/>
    <row r="6407" ht="42" customHeight="1"/>
    <row r="6408" ht="42" customHeight="1"/>
    <row r="6409" ht="42" customHeight="1"/>
    <row r="6410" ht="42" customHeight="1"/>
    <row r="6411" ht="42" customHeight="1"/>
    <row r="6412" ht="42" customHeight="1"/>
    <row r="6413" ht="42" customHeight="1"/>
    <row r="6414" ht="42" customHeight="1"/>
    <row r="6415" ht="42" customHeight="1"/>
    <row r="6416" ht="42" customHeight="1"/>
    <row r="6417" ht="42" customHeight="1"/>
    <row r="6418" ht="42" customHeight="1"/>
    <row r="6419" ht="42" customHeight="1"/>
    <row r="6420" ht="42" customHeight="1"/>
    <row r="6421" ht="42" customHeight="1"/>
    <row r="6422" ht="42" customHeight="1"/>
    <row r="6423" ht="42" customHeight="1"/>
    <row r="6424" ht="42" customHeight="1"/>
    <row r="6425" ht="42" customHeight="1"/>
    <row r="6426" ht="42" customHeight="1"/>
    <row r="6427" ht="42" customHeight="1"/>
    <row r="6428" ht="42" customHeight="1"/>
    <row r="6429" ht="42" customHeight="1"/>
    <row r="6430" ht="42" customHeight="1"/>
    <row r="6431" ht="42" customHeight="1"/>
    <row r="6432" ht="42" customHeight="1"/>
    <row r="6433" ht="42" customHeight="1"/>
    <row r="6434" ht="42" customHeight="1"/>
    <row r="6435" ht="42" customHeight="1"/>
    <row r="6436" ht="42" customHeight="1"/>
    <row r="6437" ht="42" customHeight="1"/>
    <row r="6438" ht="42" customHeight="1"/>
    <row r="6439" ht="42" customHeight="1"/>
    <row r="6440" ht="42" customHeight="1"/>
    <row r="6441" ht="42" customHeight="1"/>
    <row r="6442" ht="42" customHeight="1"/>
    <row r="6443" ht="42" customHeight="1"/>
    <row r="6444" ht="42" customHeight="1"/>
    <row r="6445" ht="42" customHeight="1"/>
    <row r="6446" ht="42" customHeight="1"/>
    <row r="6447" ht="42" customHeight="1"/>
    <row r="6448" ht="42" customHeight="1"/>
    <row r="6449" ht="42" customHeight="1"/>
    <row r="6450" ht="42" customHeight="1"/>
    <row r="6451" ht="42" customHeight="1"/>
    <row r="6452" ht="42" customHeight="1"/>
    <row r="6453" ht="42" customHeight="1"/>
    <row r="6454" ht="42" customHeight="1"/>
    <row r="6455" ht="42" customHeight="1"/>
    <row r="6456" ht="42" customHeight="1"/>
    <row r="6457" ht="42" customHeight="1"/>
    <row r="6458" ht="42" customHeight="1"/>
    <row r="6459" ht="42" customHeight="1"/>
    <row r="6460" ht="42" customHeight="1"/>
    <row r="6461" ht="42" customHeight="1"/>
    <row r="6462" ht="42" customHeight="1"/>
    <row r="6463" ht="42" customHeight="1"/>
    <row r="6464" ht="42" customHeight="1"/>
    <row r="6465" ht="42" customHeight="1"/>
    <row r="6466" ht="42" customHeight="1"/>
    <row r="6467" ht="42" customHeight="1"/>
    <row r="6468" ht="42" customHeight="1"/>
    <row r="6469" ht="42" customHeight="1"/>
    <row r="6470" ht="42" customHeight="1"/>
    <row r="6471" ht="42" customHeight="1"/>
    <row r="6472" ht="42" customHeight="1"/>
    <row r="6473" ht="42" customHeight="1"/>
    <row r="6474" ht="42" customHeight="1"/>
    <row r="6475" ht="42" customHeight="1"/>
    <row r="6476" ht="42" customHeight="1"/>
    <row r="6477" ht="42" customHeight="1"/>
    <row r="6478" ht="42" customHeight="1"/>
    <row r="6479" ht="42" customHeight="1"/>
    <row r="6480" ht="42" customHeight="1"/>
    <row r="6481" ht="42" customHeight="1"/>
    <row r="6482" ht="42" customHeight="1"/>
    <row r="6483" ht="42" customHeight="1"/>
    <row r="6484" ht="42" customHeight="1"/>
    <row r="6485" ht="42" customHeight="1"/>
    <row r="6486" ht="42" customHeight="1"/>
    <row r="6487" ht="42" customHeight="1"/>
    <row r="6488" ht="42" customHeight="1"/>
    <row r="6489" ht="42" customHeight="1"/>
    <row r="6490" ht="42" customHeight="1"/>
    <row r="6491" ht="42" customHeight="1"/>
    <row r="6492" ht="42" customHeight="1"/>
    <row r="6493" ht="42" customHeight="1"/>
    <row r="6494" ht="42" customHeight="1"/>
    <row r="6495" ht="42" customHeight="1"/>
    <row r="6496" ht="42" customHeight="1"/>
    <row r="6497" ht="42" customHeight="1"/>
    <row r="6498" ht="42" customHeight="1"/>
    <row r="6499" ht="42" customHeight="1"/>
    <row r="6500" ht="42" customHeight="1"/>
    <row r="6501" ht="42" customHeight="1"/>
    <row r="6502" ht="42" customHeight="1"/>
    <row r="6503" ht="42" customHeight="1"/>
    <row r="6504" ht="42" customHeight="1"/>
    <row r="6505" ht="42" customHeight="1"/>
    <row r="6506" ht="42" customHeight="1"/>
    <row r="6507" ht="42" customHeight="1"/>
    <row r="6508" ht="42" customHeight="1"/>
    <row r="6509" ht="42" customHeight="1"/>
    <row r="6510" ht="42" customHeight="1"/>
    <row r="6511" ht="42" customHeight="1"/>
    <row r="6512" ht="42" customHeight="1"/>
    <row r="6513" ht="42" customHeight="1"/>
    <row r="6514" ht="42" customHeight="1"/>
    <row r="6515" ht="42" customHeight="1"/>
    <row r="6516" ht="42" customHeight="1"/>
    <row r="6517" ht="42" customHeight="1"/>
    <row r="6518" ht="42" customHeight="1"/>
    <row r="6519" ht="42" customHeight="1"/>
    <row r="6520" ht="42" customHeight="1"/>
    <row r="6521" ht="42" customHeight="1"/>
    <row r="6522" ht="42" customHeight="1"/>
    <row r="6523" ht="42" customHeight="1"/>
    <row r="6524" ht="42" customHeight="1"/>
    <row r="6525" ht="42" customHeight="1"/>
    <row r="6526" ht="42" customHeight="1"/>
    <row r="6527" ht="42" customHeight="1"/>
    <row r="6528" ht="42" customHeight="1"/>
    <row r="6529" ht="42" customHeight="1"/>
    <row r="6530" ht="42" customHeight="1"/>
    <row r="6531" ht="42" customHeight="1"/>
    <row r="6532" ht="42" customHeight="1"/>
    <row r="6533" ht="42" customHeight="1"/>
    <row r="6534" ht="42" customHeight="1"/>
    <row r="6535" ht="42" customHeight="1"/>
    <row r="6536" ht="42" customHeight="1"/>
    <row r="6537" ht="42" customHeight="1"/>
    <row r="6538" ht="42" customHeight="1"/>
    <row r="6539" ht="42" customHeight="1"/>
    <row r="6540" ht="42" customHeight="1"/>
    <row r="6541" ht="42" customHeight="1"/>
    <row r="6542" ht="42" customHeight="1"/>
    <row r="6543" ht="42" customHeight="1"/>
    <row r="6544" ht="42" customHeight="1"/>
    <row r="6545" ht="42" customHeight="1"/>
    <row r="6546" ht="42" customHeight="1"/>
    <row r="6547" ht="42" customHeight="1"/>
    <row r="6548" ht="42" customHeight="1"/>
    <row r="6549" ht="42" customHeight="1"/>
    <row r="6550" ht="42" customHeight="1"/>
    <row r="6551" ht="42" customHeight="1"/>
    <row r="6552" ht="42" customHeight="1"/>
    <row r="6553" ht="42" customHeight="1"/>
    <row r="6554" ht="42" customHeight="1"/>
    <row r="6555" ht="42" customHeight="1"/>
    <row r="6556" ht="42" customHeight="1"/>
    <row r="6557" ht="42" customHeight="1"/>
    <row r="6558" ht="42" customHeight="1"/>
    <row r="6559" ht="42" customHeight="1"/>
    <row r="6560" ht="42" customHeight="1"/>
    <row r="6561" ht="42" customHeight="1"/>
    <row r="6562" ht="42" customHeight="1"/>
    <row r="6563" ht="42" customHeight="1"/>
    <row r="6564" ht="42" customHeight="1"/>
    <row r="6565" ht="42" customHeight="1"/>
    <row r="6566" ht="42" customHeight="1"/>
    <row r="6567" ht="42" customHeight="1"/>
    <row r="6568" ht="42" customHeight="1"/>
    <row r="6569" ht="42" customHeight="1"/>
    <row r="6570" ht="42" customHeight="1"/>
    <row r="6571" ht="42" customHeight="1"/>
    <row r="6572" ht="42" customHeight="1"/>
    <row r="6573" ht="42" customHeight="1"/>
    <row r="6574" ht="42" customHeight="1"/>
    <row r="6575" ht="42" customHeight="1"/>
    <row r="6576" ht="42" customHeight="1"/>
    <row r="6577" ht="42" customHeight="1"/>
    <row r="6578" ht="42" customHeight="1"/>
    <row r="6579" ht="42" customHeight="1"/>
    <row r="6580" ht="42" customHeight="1"/>
    <row r="6581" ht="42" customHeight="1"/>
    <row r="6582" ht="42" customHeight="1"/>
    <row r="6583" ht="42" customHeight="1"/>
    <row r="6584" ht="42" customHeight="1"/>
    <row r="6585" ht="42" customHeight="1"/>
    <row r="6586" ht="42" customHeight="1"/>
    <row r="6587" ht="42" customHeight="1"/>
    <row r="6588" ht="42" customHeight="1"/>
    <row r="6589" ht="42" customHeight="1"/>
    <row r="6590" ht="42" customHeight="1"/>
    <row r="6591" ht="42" customHeight="1"/>
    <row r="6592" ht="42" customHeight="1"/>
    <row r="6593" ht="42" customHeight="1"/>
    <row r="6594" ht="42" customHeight="1"/>
    <row r="6595" ht="42" customHeight="1"/>
    <row r="6596" ht="42" customHeight="1"/>
    <row r="6597" ht="42" customHeight="1"/>
    <row r="6598" ht="42" customHeight="1"/>
    <row r="6599" ht="42" customHeight="1"/>
    <row r="6600" ht="42" customHeight="1"/>
    <row r="6601" ht="42" customHeight="1"/>
    <row r="6602" ht="42" customHeight="1"/>
    <row r="6603" ht="42" customHeight="1"/>
    <row r="6604" ht="42" customHeight="1"/>
    <row r="6605" ht="42" customHeight="1"/>
    <row r="6606" ht="42" customHeight="1"/>
    <row r="6607" ht="42" customHeight="1"/>
    <row r="6608" ht="42" customHeight="1"/>
    <row r="6609" ht="42" customHeight="1"/>
    <row r="6610" ht="42" customHeight="1"/>
    <row r="6611" ht="42" customHeight="1"/>
    <row r="6612" ht="42" customHeight="1"/>
    <row r="6613" ht="42" customHeight="1"/>
    <row r="6614" ht="42" customHeight="1"/>
    <row r="6615" ht="42" customHeight="1"/>
    <row r="6616" ht="42" customHeight="1"/>
    <row r="6617" ht="42" customHeight="1"/>
    <row r="6618" ht="42" customHeight="1"/>
    <row r="6619" ht="42" customHeight="1"/>
    <row r="6620" ht="42" customHeight="1"/>
    <row r="6621" ht="42" customHeight="1"/>
    <row r="6622" ht="42" customHeight="1"/>
    <row r="6623" ht="42" customHeight="1"/>
    <row r="6624" ht="42" customHeight="1"/>
    <row r="6625" ht="42" customHeight="1"/>
    <row r="6626" ht="42" customHeight="1"/>
    <row r="6627" ht="42" customHeight="1"/>
    <row r="6628" ht="42" customHeight="1"/>
    <row r="6629" ht="42" customHeight="1"/>
    <row r="6630" ht="42" customHeight="1"/>
    <row r="6631" ht="42" customHeight="1"/>
    <row r="6632" ht="42" customHeight="1"/>
    <row r="6633" ht="42" customHeight="1"/>
    <row r="6634" ht="42" customHeight="1"/>
    <row r="6635" ht="42" customHeight="1"/>
    <row r="6636" ht="42" customHeight="1"/>
    <row r="6637" ht="42" customHeight="1"/>
    <row r="6638" ht="42" customHeight="1"/>
    <row r="6639" ht="42" customHeight="1"/>
    <row r="6640" ht="42" customHeight="1"/>
    <row r="6641" ht="42" customHeight="1"/>
    <row r="6642" ht="42" customHeight="1"/>
    <row r="6643" ht="42" customHeight="1"/>
    <row r="6644" ht="42" customHeight="1"/>
    <row r="6645" ht="42" customHeight="1"/>
    <row r="6646" ht="42" customHeight="1"/>
    <row r="6647" ht="42" customHeight="1"/>
    <row r="6648" ht="42" customHeight="1"/>
    <row r="6649" ht="42" customHeight="1"/>
    <row r="6650" ht="42" customHeight="1"/>
    <row r="6651" ht="42" customHeight="1"/>
    <row r="6652" ht="42" customHeight="1"/>
    <row r="6653" ht="42" customHeight="1"/>
    <row r="6654" ht="42" customHeight="1"/>
    <row r="6655" ht="42" customHeight="1"/>
    <row r="6656" ht="42" customHeight="1"/>
    <row r="6657" ht="42" customHeight="1"/>
    <row r="6658" ht="42" customHeight="1"/>
    <row r="6659" ht="42" customHeight="1"/>
    <row r="6660" ht="42" customHeight="1"/>
    <row r="6661" ht="42" customHeight="1"/>
    <row r="6662" ht="42" customHeight="1"/>
    <row r="6663" ht="42" customHeight="1"/>
    <row r="6664" ht="42" customHeight="1"/>
    <row r="6665" ht="42" customHeight="1"/>
    <row r="6666" ht="42" customHeight="1"/>
    <row r="6667" ht="42" customHeight="1"/>
    <row r="6668" ht="42" customHeight="1"/>
    <row r="6669" ht="42" customHeight="1"/>
    <row r="6670" ht="42" customHeight="1"/>
    <row r="6671" ht="42" customHeight="1"/>
    <row r="6672" ht="42" customHeight="1"/>
    <row r="6673" ht="42" customHeight="1"/>
    <row r="6674" ht="42" customHeight="1"/>
    <row r="6675" ht="42" customHeight="1"/>
    <row r="6676" ht="42" customHeight="1"/>
    <row r="6677" ht="42" customHeight="1"/>
    <row r="6678" ht="42" customHeight="1"/>
    <row r="6679" ht="42" customHeight="1"/>
    <row r="6680" ht="42" customHeight="1"/>
    <row r="6681" ht="42" customHeight="1"/>
    <row r="6682" ht="42" customHeight="1"/>
    <row r="6683" ht="42" customHeight="1"/>
    <row r="6684" ht="42" customHeight="1"/>
    <row r="6685" ht="42" customHeight="1"/>
    <row r="6686" ht="42" customHeight="1"/>
    <row r="6687" ht="42" customHeight="1"/>
    <row r="6688" ht="42" customHeight="1"/>
    <row r="6689" ht="42" customHeight="1"/>
    <row r="6690" ht="42" customHeight="1"/>
    <row r="6691" ht="42" customHeight="1"/>
    <row r="6692" ht="42" customHeight="1"/>
    <row r="6693" ht="42" customHeight="1"/>
    <row r="6694" ht="42" customHeight="1"/>
    <row r="6695" ht="42" customHeight="1"/>
    <row r="6696" ht="42" customHeight="1"/>
    <row r="6697" ht="42" customHeight="1"/>
    <row r="6698" ht="42" customHeight="1"/>
    <row r="6699" ht="42" customHeight="1"/>
    <row r="6700" ht="42" customHeight="1"/>
    <row r="6701" ht="42" customHeight="1"/>
    <row r="6702" ht="42" customHeight="1"/>
    <row r="6703" ht="42" customHeight="1"/>
    <row r="6704" ht="42" customHeight="1"/>
    <row r="6705" ht="42" customHeight="1"/>
    <row r="6706" ht="42" customHeight="1"/>
    <row r="6707" ht="42" customHeight="1"/>
    <row r="6708" ht="42" customHeight="1"/>
    <row r="6709" ht="42" customHeight="1"/>
    <row r="6710" ht="42" customHeight="1"/>
    <row r="6711" ht="42" customHeight="1"/>
    <row r="6712" ht="42" customHeight="1"/>
    <row r="6713" ht="42" customHeight="1"/>
    <row r="6714" ht="42" customHeight="1"/>
    <row r="6715" ht="42" customHeight="1"/>
    <row r="6716" ht="42" customHeight="1"/>
    <row r="6717" ht="42" customHeight="1"/>
    <row r="6718" ht="42" customHeight="1"/>
    <row r="6719" ht="42" customHeight="1"/>
    <row r="6720" ht="42" customHeight="1"/>
    <row r="6721" ht="42" customHeight="1"/>
    <row r="6722" ht="42" customHeight="1"/>
    <row r="6723" ht="42" customHeight="1"/>
    <row r="6724" ht="42" customHeight="1"/>
    <row r="6725" ht="42" customHeight="1"/>
    <row r="6726" ht="42" customHeight="1"/>
    <row r="6727" ht="42" customHeight="1"/>
    <row r="6728" ht="42" customHeight="1"/>
    <row r="6729" ht="42" customHeight="1"/>
    <row r="6730" ht="42" customHeight="1"/>
    <row r="6731" ht="42" customHeight="1"/>
    <row r="6732" ht="42" customHeight="1"/>
    <row r="6733" ht="42" customHeight="1"/>
    <row r="6734" ht="42" customHeight="1"/>
    <row r="6735" ht="42" customHeight="1"/>
    <row r="6736" ht="42" customHeight="1"/>
    <row r="6737" ht="42" customHeight="1"/>
    <row r="6738" ht="42" customHeight="1"/>
    <row r="6739" ht="42" customHeight="1"/>
    <row r="6740" ht="42" customHeight="1"/>
    <row r="6741" ht="42" customHeight="1"/>
    <row r="6742" ht="42" customHeight="1"/>
    <row r="6743" ht="42" customHeight="1"/>
    <row r="6744" ht="42" customHeight="1"/>
    <row r="6745" ht="42" customHeight="1"/>
    <row r="6746" ht="42" customHeight="1"/>
    <row r="6747" ht="42" customHeight="1"/>
    <row r="6748" ht="42" customHeight="1"/>
    <row r="6749" ht="42" customHeight="1"/>
    <row r="6750" ht="42" customHeight="1"/>
    <row r="6751" ht="42" customHeight="1"/>
    <row r="6752" ht="42" customHeight="1"/>
    <row r="6753" ht="42" customHeight="1"/>
    <row r="6754" ht="42" customHeight="1"/>
    <row r="6755" ht="42" customHeight="1"/>
    <row r="6756" ht="42" customHeight="1"/>
    <row r="6757" ht="42" customHeight="1"/>
    <row r="6758" ht="42" customHeight="1"/>
    <row r="6759" ht="42" customHeight="1"/>
    <row r="6760" ht="42" customHeight="1"/>
    <row r="6761" ht="42" customHeight="1"/>
    <row r="6762" ht="42" customHeight="1"/>
    <row r="6763" ht="42" customHeight="1"/>
    <row r="6764" ht="42" customHeight="1"/>
    <row r="6765" ht="42" customHeight="1"/>
    <row r="6766" ht="42" customHeight="1"/>
    <row r="6767" ht="42" customHeight="1"/>
    <row r="6768" ht="42" customHeight="1"/>
    <row r="6769" ht="42" customHeight="1"/>
    <row r="6770" ht="42" customHeight="1"/>
    <row r="6771" ht="42" customHeight="1"/>
    <row r="6772" ht="42" customHeight="1"/>
    <row r="6773" ht="42" customHeight="1"/>
    <row r="6774" ht="42" customHeight="1"/>
    <row r="6775" ht="42" customHeight="1"/>
    <row r="6776" ht="42" customHeight="1"/>
    <row r="6777" ht="42" customHeight="1"/>
    <row r="6778" ht="42" customHeight="1"/>
    <row r="6779" ht="42" customHeight="1"/>
    <row r="6780" ht="42" customHeight="1"/>
    <row r="6781" ht="42" customHeight="1"/>
    <row r="6782" ht="42" customHeight="1"/>
    <row r="6783" ht="42" customHeight="1"/>
    <row r="6784" ht="42" customHeight="1"/>
    <row r="6785" ht="42" customHeight="1"/>
    <row r="6786" ht="42" customHeight="1"/>
    <row r="6787" ht="42" customHeight="1"/>
    <row r="6788" ht="42" customHeight="1"/>
    <row r="6789" ht="42" customHeight="1"/>
    <row r="6790" ht="42" customHeight="1"/>
    <row r="6791" ht="42" customHeight="1"/>
    <row r="6792" ht="42" customHeight="1"/>
    <row r="6793" ht="42" customHeight="1"/>
    <row r="6794" ht="42" customHeight="1"/>
    <row r="6795" ht="42" customHeight="1"/>
    <row r="6796" ht="42" customHeight="1"/>
    <row r="6797" ht="42" customHeight="1"/>
    <row r="6798" ht="42" customHeight="1"/>
    <row r="6799" ht="42" customHeight="1"/>
    <row r="6800" ht="42" customHeight="1"/>
    <row r="6801" ht="42" customHeight="1"/>
    <row r="6802" ht="42" customHeight="1"/>
    <row r="6803" ht="42" customHeight="1"/>
    <row r="6804" ht="42" customHeight="1"/>
    <row r="6805" ht="42" customHeight="1"/>
    <row r="6806" ht="42" customHeight="1"/>
    <row r="6807" ht="42" customHeight="1"/>
    <row r="6808" ht="42" customHeight="1"/>
    <row r="6809" ht="42" customHeight="1"/>
    <row r="6810" ht="42" customHeight="1"/>
    <row r="6811" ht="42" customHeight="1"/>
    <row r="6812" ht="42" customHeight="1"/>
    <row r="6813" ht="42" customHeight="1"/>
    <row r="6814" ht="42" customHeight="1"/>
    <row r="6815" ht="42" customHeight="1"/>
    <row r="6816" ht="42" customHeight="1"/>
    <row r="6817" ht="42" customHeight="1"/>
    <row r="6818" ht="42" customHeight="1"/>
    <row r="6819" ht="42" customHeight="1"/>
    <row r="6820" ht="42" customHeight="1"/>
    <row r="6821" ht="42" customHeight="1"/>
    <row r="6822" ht="42" customHeight="1"/>
    <row r="6823" ht="42" customHeight="1"/>
    <row r="6824" ht="42" customHeight="1"/>
    <row r="6825" ht="42" customHeight="1"/>
    <row r="6826" ht="42" customHeight="1"/>
    <row r="6827" ht="42" customHeight="1"/>
    <row r="6828" ht="42" customHeight="1"/>
    <row r="6829" ht="42" customHeight="1"/>
    <row r="6830" ht="42" customHeight="1"/>
    <row r="6831" ht="42" customHeight="1"/>
    <row r="6832" ht="42" customHeight="1"/>
    <row r="6833" ht="42" customHeight="1"/>
    <row r="6834" ht="42" customHeight="1"/>
    <row r="6835" ht="42" customHeight="1"/>
    <row r="6836" ht="42" customHeight="1"/>
    <row r="6837" ht="42" customHeight="1"/>
    <row r="6838" ht="42" customHeight="1"/>
    <row r="6839" ht="42" customHeight="1"/>
    <row r="6840" ht="42" customHeight="1"/>
    <row r="6841" ht="42" customHeight="1"/>
    <row r="6842" ht="42" customHeight="1"/>
    <row r="6843" ht="42" customHeight="1"/>
    <row r="6844" ht="42" customHeight="1"/>
    <row r="6845" ht="42" customHeight="1"/>
    <row r="6846" ht="42" customHeight="1"/>
    <row r="6847" ht="42" customHeight="1"/>
    <row r="6848" ht="42" customHeight="1"/>
    <row r="6849" ht="42" customHeight="1"/>
    <row r="6850" ht="42" customHeight="1"/>
    <row r="6851" ht="42" customHeight="1"/>
    <row r="6852" ht="42" customHeight="1"/>
    <row r="6853" ht="42" customHeight="1"/>
    <row r="6854" ht="42" customHeight="1"/>
    <row r="6855" ht="42" customHeight="1"/>
    <row r="6856" ht="42" customHeight="1"/>
    <row r="6857" ht="42" customHeight="1"/>
    <row r="6858" ht="42" customHeight="1"/>
    <row r="6859" ht="42" customHeight="1"/>
    <row r="6860" ht="42" customHeight="1"/>
    <row r="6861" ht="42" customHeight="1"/>
    <row r="6862" ht="42" customHeight="1"/>
    <row r="6863" ht="42" customHeight="1"/>
    <row r="6864" ht="42" customHeight="1"/>
    <row r="6865" ht="42" customHeight="1"/>
    <row r="6866" ht="42" customHeight="1"/>
    <row r="6867" ht="42" customHeight="1"/>
    <row r="6868" ht="42" customHeight="1"/>
    <row r="6869" ht="42" customHeight="1"/>
    <row r="6870" ht="42" customHeight="1"/>
    <row r="6871" ht="42" customHeight="1"/>
    <row r="6872" ht="42" customHeight="1"/>
    <row r="6873" ht="42" customHeight="1"/>
    <row r="6874" ht="42" customHeight="1"/>
    <row r="6875" ht="42" customHeight="1"/>
    <row r="6876" ht="42" customHeight="1"/>
    <row r="6877" ht="42" customHeight="1"/>
    <row r="6878" ht="42" customHeight="1"/>
    <row r="6879" ht="42" customHeight="1"/>
    <row r="6880" ht="42" customHeight="1"/>
    <row r="6881" ht="42" customHeight="1"/>
    <row r="6882" ht="42" customHeight="1"/>
    <row r="6883" ht="42" customHeight="1"/>
    <row r="6884" ht="42" customHeight="1"/>
    <row r="6885" ht="42" customHeight="1"/>
    <row r="6886" ht="42" customHeight="1"/>
    <row r="6887" ht="42" customHeight="1"/>
    <row r="6888" ht="42" customHeight="1"/>
    <row r="6889" ht="42" customHeight="1"/>
    <row r="6890" ht="42" customHeight="1"/>
    <row r="6891" ht="42" customHeight="1"/>
    <row r="6892" ht="42" customHeight="1"/>
    <row r="6893" ht="42" customHeight="1"/>
    <row r="6894" ht="42" customHeight="1"/>
    <row r="6895" ht="42" customHeight="1"/>
    <row r="6896" ht="42" customHeight="1"/>
    <row r="6897" ht="42" customHeight="1"/>
    <row r="6898" ht="42" customHeight="1"/>
    <row r="6899" ht="42" customHeight="1"/>
    <row r="6900" ht="42" customHeight="1"/>
    <row r="6901" ht="42" customHeight="1"/>
    <row r="6902" ht="42" customHeight="1"/>
    <row r="6903" ht="42" customHeight="1"/>
    <row r="6904" ht="42" customHeight="1"/>
    <row r="6905" ht="42" customHeight="1"/>
    <row r="6906" ht="42" customHeight="1"/>
    <row r="6907" ht="42" customHeight="1"/>
    <row r="6908" ht="42" customHeight="1"/>
    <row r="6909" ht="42" customHeight="1"/>
    <row r="6910" ht="42" customHeight="1"/>
    <row r="6911" ht="42" customHeight="1"/>
    <row r="6912" ht="42" customHeight="1"/>
    <row r="6913" ht="42" customHeight="1"/>
    <row r="6914" ht="42" customHeight="1"/>
    <row r="6915" ht="42" customHeight="1"/>
    <row r="6916" ht="42" customHeight="1"/>
    <row r="6917" ht="42" customHeight="1"/>
    <row r="6918" ht="42" customHeight="1"/>
    <row r="6919" ht="42" customHeight="1"/>
    <row r="6920" ht="42" customHeight="1"/>
    <row r="6921" ht="42" customHeight="1"/>
    <row r="6922" ht="42" customHeight="1"/>
    <row r="6923" ht="42" customHeight="1"/>
    <row r="6924" ht="42" customHeight="1"/>
    <row r="6925" ht="42" customHeight="1"/>
    <row r="6926" ht="42" customHeight="1"/>
    <row r="6927" ht="42" customHeight="1"/>
    <row r="6928" ht="42" customHeight="1"/>
    <row r="6929" ht="42" customHeight="1"/>
    <row r="6930" ht="42" customHeight="1"/>
    <row r="6931" ht="42" customHeight="1"/>
    <row r="6932" ht="42" customHeight="1"/>
    <row r="6933" ht="42" customHeight="1"/>
    <row r="6934" ht="42" customHeight="1"/>
    <row r="6935" ht="42" customHeight="1"/>
    <row r="6936" ht="42" customHeight="1"/>
    <row r="6937" ht="42" customHeight="1"/>
    <row r="6938" ht="42" customHeight="1"/>
    <row r="6939" ht="42" customHeight="1"/>
    <row r="6940" ht="42" customHeight="1"/>
    <row r="6941" ht="42" customHeight="1"/>
    <row r="6942" ht="42" customHeight="1"/>
    <row r="6943" ht="42" customHeight="1"/>
    <row r="6944" ht="42" customHeight="1"/>
    <row r="6945" ht="42" customHeight="1"/>
    <row r="6946" ht="42" customHeight="1"/>
    <row r="6947" ht="42" customHeight="1"/>
    <row r="6948" ht="42" customHeight="1"/>
    <row r="6949" ht="42" customHeight="1"/>
    <row r="6950" ht="42" customHeight="1"/>
    <row r="6951" ht="42" customHeight="1"/>
    <row r="6952" ht="42" customHeight="1"/>
    <row r="6953" ht="42" customHeight="1"/>
    <row r="6954" ht="42" customHeight="1"/>
    <row r="6955" ht="42" customHeight="1"/>
    <row r="6956" ht="42" customHeight="1"/>
    <row r="6957" ht="42" customHeight="1"/>
    <row r="6958" ht="42" customHeight="1"/>
    <row r="6959" ht="42" customHeight="1"/>
    <row r="6960" ht="42" customHeight="1"/>
    <row r="6961" ht="42" customHeight="1"/>
    <row r="6962" ht="42" customHeight="1"/>
    <row r="6963" ht="42" customHeight="1"/>
    <row r="6964" ht="42" customHeight="1"/>
    <row r="6965" ht="42" customHeight="1"/>
    <row r="6966" ht="42" customHeight="1"/>
    <row r="6967" ht="42" customHeight="1"/>
    <row r="6968" ht="42" customHeight="1"/>
    <row r="6969" ht="42" customHeight="1"/>
    <row r="6970" ht="42" customHeight="1"/>
    <row r="6971" ht="42" customHeight="1"/>
    <row r="6972" ht="42" customHeight="1"/>
    <row r="6973" ht="42" customHeight="1"/>
    <row r="6974" ht="42" customHeight="1"/>
    <row r="6975" ht="42" customHeight="1"/>
    <row r="6976" ht="42" customHeight="1"/>
    <row r="6977" ht="42" customHeight="1"/>
    <row r="6978" ht="42" customHeight="1"/>
    <row r="6979" ht="42" customHeight="1"/>
    <row r="6980" ht="42" customHeight="1"/>
    <row r="6981" ht="42" customHeight="1"/>
    <row r="6982" ht="42" customHeight="1"/>
    <row r="6983" ht="42" customHeight="1"/>
    <row r="6984" ht="42" customHeight="1"/>
    <row r="6985" ht="42" customHeight="1"/>
    <row r="6986" ht="42" customHeight="1"/>
    <row r="6987" ht="42" customHeight="1"/>
    <row r="6988" ht="42" customHeight="1"/>
    <row r="6989" ht="42" customHeight="1"/>
    <row r="6990" ht="42" customHeight="1"/>
    <row r="6991" ht="42" customHeight="1"/>
    <row r="6992" ht="42" customHeight="1"/>
    <row r="6993" ht="42" customHeight="1"/>
    <row r="6994" ht="42" customHeight="1"/>
    <row r="6995" ht="42" customHeight="1"/>
    <row r="6996" ht="42" customHeight="1"/>
    <row r="6997" ht="42" customHeight="1"/>
    <row r="6998" ht="42" customHeight="1"/>
    <row r="6999" ht="42" customHeight="1"/>
    <row r="7000" ht="42" customHeight="1"/>
    <row r="7001" ht="42" customHeight="1"/>
    <row r="7002" ht="42" customHeight="1"/>
    <row r="7003" ht="42" customHeight="1"/>
    <row r="7004" ht="42" customHeight="1"/>
    <row r="7005" ht="42" customHeight="1"/>
    <row r="7006" ht="42" customHeight="1"/>
    <row r="7007" ht="42" customHeight="1"/>
    <row r="7008" ht="42" customHeight="1"/>
    <row r="7009" ht="42" customHeight="1"/>
    <row r="7010" ht="42" customHeight="1"/>
    <row r="7011" ht="42" customHeight="1"/>
    <row r="7012" ht="42" customHeight="1"/>
    <row r="7013" ht="42" customHeight="1"/>
    <row r="7014" ht="42" customHeight="1"/>
    <row r="7015" ht="42" customHeight="1"/>
    <row r="7016" ht="42" customHeight="1"/>
    <row r="7017" ht="42" customHeight="1"/>
    <row r="7018" ht="42" customHeight="1"/>
    <row r="7019" ht="42" customHeight="1"/>
    <row r="7020" ht="42" customHeight="1"/>
    <row r="7021" ht="42" customHeight="1"/>
    <row r="7022" ht="42" customHeight="1"/>
    <row r="7023" ht="42" customHeight="1"/>
    <row r="7024" ht="42" customHeight="1"/>
    <row r="7025" ht="42" customHeight="1"/>
    <row r="7026" ht="42" customHeight="1"/>
    <row r="7027" ht="42" customHeight="1"/>
    <row r="7028" ht="42" customHeight="1"/>
    <row r="7029" ht="42" customHeight="1"/>
    <row r="7030" ht="42" customHeight="1"/>
    <row r="7031" ht="42" customHeight="1"/>
    <row r="7032" ht="42" customHeight="1"/>
    <row r="7033" ht="42" customHeight="1"/>
    <row r="7034" ht="42" customHeight="1"/>
    <row r="7035" ht="42" customHeight="1"/>
    <row r="7036" ht="42" customHeight="1"/>
    <row r="7037" ht="42" customHeight="1"/>
    <row r="7038" ht="42" customHeight="1"/>
    <row r="7039" ht="42" customHeight="1"/>
    <row r="7040" ht="42" customHeight="1"/>
    <row r="7041" ht="42" customHeight="1"/>
    <row r="7042" ht="42" customHeight="1"/>
    <row r="7043" ht="42" customHeight="1"/>
    <row r="7044" ht="42" customHeight="1"/>
    <row r="7045" ht="42" customHeight="1"/>
    <row r="7046" ht="42" customHeight="1"/>
    <row r="7047" ht="42" customHeight="1"/>
    <row r="7048" ht="42" customHeight="1"/>
    <row r="7049" ht="42" customHeight="1"/>
    <row r="7050" ht="42" customHeight="1"/>
    <row r="7051" ht="42" customHeight="1"/>
    <row r="7052" ht="42" customHeight="1"/>
    <row r="7053" ht="42" customHeight="1"/>
    <row r="7054" ht="42" customHeight="1"/>
    <row r="7055" ht="42" customHeight="1"/>
    <row r="7056" ht="42" customHeight="1"/>
    <row r="7057" ht="42" customHeight="1"/>
    <row r="7058" ht="42" customHeight="1"/>
    <row r="7059" ht="42" customHeight="1"/>
    <row r="7060" ht="42" customHeight="1"/>
    <row r="7061" ht="42" customHeight="1"/>
    <row r="7062" ht="42" customHeight="1"/>
    <row r="7063" ht="42" customHeight="1"/>
    <row r="7064" ht="42" customHeight="1"/>
    <row r="7065" ht="42" customHeight="1"/>
    <row r="7066" ht="42" customHeight="1"/>
    <row r="7067" ht="42" customHeight="1"/>
    <row r="7068" ht="42" customHeight="1"/>
    <row r="7069" ht="42" customHeight="1"/>
    <row r="7070" ht="42" customHeight="1"/>
    <row r="7071" ht="42" customHeight="1"/>
    <row r="7072" ht="42" customHeight="1"/>
    <row r="7073" ht="42" customHeight="1"/>
    <row r="7074" ht="42" customHeight="1"/>
    <row r="7075" ht="42" customHeight="1"/>
    <row r="7076" ht="42" customHeight="1"/>
    <row r="7077" ht="42" customHeight="1"/>
    <row r="7078" ht="42" customHeight="1"/>
    <row r="7079" ht="42" customHeight="1"/>
    <row r="7080" ht="42" customHeight="1"/>
    <row r="7081" ht="42" customHeight="1"/>
    <row r="7082" ht="42" customHeight="1"/>
    <row r="7083" ht="42" customHeight="1"/>
    <row r="7084" ht="42" customHeight="1"/>
    <row r="7085" ht="42" customHeight="1"/>
    <row r="7086" ht="42" customHeight="1"/>
    <row r="7087" ht="42" customHeight="1"/>
    <row r="7088" ht="42" customHeight="1"/>
    <row r="7089" ht="42" customHeight="1"/>
    <row r="7090" ht="42" customHeight="1"/>
    <row r="7091" ht="42" customHeight="1"/>
    <row r="7092" ht="42" customHeight="1"/>
    <row r="7093" ht="42" customHeight="1"/>
    <row r="7094" ht="42" customHeight="1"/>
    <row r="7095" ht="42" customHeight="1"/>
    <row r="7096" ht="42" customHeight="1"/>
    <row r="7097" ht="42" customHeight="1"/>
    <row r="7098" ht="42" customHeight="1"/>
    <row r="7099" ht="42" customHeight="1"/>
    <row r="7100" ht="42" customHeight="1"/>
    <row r="7101" ht="42" customHeight="1"/>
    <row r="7102" ht="42" customHeight="1"/>
    <row r="7103" ht="42" customHeight="1"/>
    <row r="7104" ht="42" customHeight="1"/>
    <row r="7105" ht="42" customHeight="1"/>
    <row r="7106" ht="42" customHeight="1"/>
    <row r="7107" ht="42" customHeight="1"/>
    <row r="7108" ht="42" customHeight="1"/>
    <row r="7109" ht="42" customHeight="1"/>
    <row r="7110" ht="42" customHeight="1"/>
    <row r="7111" ht="42" customHeight="1"/>
    <row r="7112" ht="42" customHeight="1"/>
    <row r="7113" ht="42" customHeight="1"/>
    <row r="7114" ht="42" customHeight="1"/>
    <row r="7115" ht="42" customHeight="1"/>
    <row r="7116" ht="42" customHeight="1"/>
    <row r="7117" ht="42" customHeight="1"/>
    <row r="7118" ht="42" customHeight="1"/>
    <row r="7119" ht="42" customHeight="1"/>
    <row r="7120" ht="42" customHeight="1"/>
    <row r="7121" ht="42" customHeight="1"/>
    <row r="7122" ht="42" customHeight="1"/>
    <row r="7123" ht="42" customHeight="1"/>
    <row r="7124" ht="42" customHeight="1"/>
    <row r="7125" ht="42" customHeight="1"/>
    <row r="7126" ht="42" customHeight="1"/>
    <row r="7127" ht="42" customHeight="1"/>
    <row r="7128" ht="42" customHeight="1"/>
    <row r="7129" ht="42" customHeight="1"/>
    <row r="7130" ht="42" customHeight="1"/>
    <row r="7131" ht="42" customHeight="1"/>
    <row r="7132" ht="42" customHeight="1"/>
    <row r="7133" ht="42" customHeight="1"/>
    <row r="7134" ht="42" customHeight="1"/>
    <row r="7135" ht="42" customHeight="1"/>
    <row r="7136" ht="42" customHeight="1"/>
    <row r="7137" ht="42" customHeight="1"/>
    <row r="7138" ht="42" customHeight="1"/>
    <row r="7139" ht="42" customHeight="1"/>
    <row r="7140" ht="42" customHeight="1"/>
    <row r="7141" ht="42" customHeight="1"/>
    <row r="7142" ht="42" customHeight="1"/>
    <row r="7143" ht="42" customHeight="1"/>
    <row r="7144" ht="42" customHeight="1"/>
    <row r="7145" ht="42" customHeight="1"/>
    <row r="7146" ht="42" customHeight="1"/>
    <row r="7147" ht="42" customHeight="1"/>
    <row r="7148" ht="42" customHeight="1"/>
    <row r="7149" ht="42" customHeight="1"/>
    <row r="7150" ht="42" customHeight="1"/>
    <row r="7151" ht="42" customHeight="1"/>
    <row r="7152" ht="42" customHeight="1"/>
    <row r="7153" ht="42" customHeight="1"/>
    <row r="7154" ht="42" customHeight="1"/>
    <row r="7155" ht="42" customHeight="1"/>
    <row r="7156" ht="42" customHeight="1"/>
    <row r="7157" ht="42" customHeight="1"/>
    <row r="7158" ht="42" customHeight="1"/>
    <row r="7159" ht="42" customHeight="1"/>
    <row r="7160" ht="42" customHeight="1"/>
    <row r="7161" ht="42" customHeight="1"/>
    <row r="7162" ht="42" customHeight="1"/>
    <row r="7163" ht="42" customHeight="1"/>
    <row r="7164" ht="42" customHeight="1"/>
    <row r="7165" ht="42" customHeight="1"/>
    <row r="7166" ht="42" customHeight="1"/>
    <row r="7167" ht="42" customHeight="1"/>
    <row r="7168" ht="42" customHeight="1"/>
    <row r="7169" ht="42" customHeight="1"/>
    <row r="7170" ht="42" customHeight="1"/>
    <row r="7171" ht="42" customHeight="1"/>
    <row r="7172" ht="42" customHeight="1"/>
    <row r="7173" ht="42" customHeight="1"/>
    <row r="7174" ht="42" customHeight="1"/>
    <row r="7175" ht="42" customHeight="1"/>
    <row r="7176" ht="42" customHeight="1"/>
    <row r="7177" ht="42" customHeight="1"/>
    <row r="7178" ht="42" customHeight="1"/>
    <row r="7179" ht="42" customHeight="1"/>
    <row r="7180" ht="42" customHeight="1"/>
    <row r="7181" ht="42" customHeight="1"/>
    <row r="7182" ht="42" customHeight="1"/>
    <row r="7183" ht="42" customHeight="1"/>
    <row r="7184" ht="42" customHeight="1"/>
    <row r="7185" ht="42" customHeight="1"/>
    <row r="7186" ht="42" customHeight="1"/>
    <row r="7187" ht="42" customHeight="1"/>
    <row r="7188" ht="42" customHeight="1"/>
    <row r="7189" ht="42" customHeight="1"/>
    <row r="7190" ht="42" customHeight="1"/>
    <row r="7191" ht="42" customHeight="1"/>
    <row r="7192" ht="42" customHeight="1"/>
    <row r="7193" ht="42" customHeight="1"/>
    <row r="7194" ht="42" customHeight="1"/>
    <row r="7195" ht="42" customHeight="1"/>
    <row r="7196" ht="42" customHeight="1"/>
    <row r="7197" ht="42" customHeight="1"/>
    <row r="7198" ht="42" customHeight="1"/>
    <row r="7199" ht="42" customHeight="1"/>
    <row r="7200" ht="42" customHeight="1"/>
    <row r="7201" ht="42" customHeight="1"/>
    <row r="7202" ht="42" customHeight="1"/>
    <row r="7203" ht="42" customHeight="1"/>
    <row r="7204" ht="42" customHeight="1"/>
    <row r="7205" ht="42" customHeight="1"/>
    <row r="7206" ht="42" customHeight="1"/>
    <row r="7207" ht="42" customHeight="1"/>
    <row r="7208" ht="42" customHeight="1"/>
    <row r="7209" ht="42" customHeight="1"/>
    <row r="7210" ht="42" customHeight="1"/>
    <row r="7211" ht="42" customHeight="1"/>
    <row r="7212" ht="42" customHeight="1"/>
    <row r="7213" ht="42" customHeight="1"/>
    <row r="7214" ht="42" customHeight="1"/>
    <row r="7215" ht="42" customHeight="1"/>
    <row r="7216" ht="42" customHeight="1"/>
    <row r="7217" ht="42" customHeight="1"/>
    <row r="7218" ht="42" customHeight="1"/>
    <row r="7219" ht="42" customHeight="1"/>
    <row r="7220" ht="42" customHeight="1"/>
    <row r="7221" ht="42" customHeight="1"/>
    <row r="7222" ht="42" customHeight="1"/>
    <row r="7223" ht="42" customHeight="1"/>
    <row r="7224" ht="42" customHeight="1"/>
    <row r="7225" ht="42" customHeight="1"/>
    <row r="7226" ht="42" customHeight="1"/>
    <row r="7227" ht="42" customHeight="1"/>
    <row r="7228" ht="42" customHeight="1"/>
    <row r="7229" ht="42" customHeight="1"/>
    <row r="7230" ht="42" customHeight="1"/>
    <row r="7231" ht="42" customHeight="1"/>
    <row r="7232" ht="42" customHeight="1"/>
    <row r="7233" ht="42" customHeight="1"/>
    <row r="7234" ht="42" customHeight="1"/>
    <row r="7235" ht="42" customHeight="1"/>
    <row r="7236" ht="42" customHeight="1"/>
    <row r="7237" ht="42" customHeight="1"/>
    <row r="7238" ht="42" customHeight="1"/>
    <row r="7239" ht="42" customHeight="1"/>
    <row r="7240" ht="42" customHeight="1"/>
    <row r="7241" ht="42" customHeight="1"/>
    <row r="7242" ht="42" customHeight="1"/>
    <row r="7243" ht="42" customHeight="1"/>
    <row r="7244" ht="42" customHeight="1"/>
    <row r="7245" ht="42" customHeight="1"/>
    <row r="7246" ht="42" customHeight="1"/>
    <row r="7247" ht="42" customHeight="1"/>
    <row r="7248" ht="42" customHeight="1"/>
    <row r="7249" ht="42" customHeight="1"/>
    <row r="7250" ht="42" customHeight="1"/>
    <row r="7251" ht="42" customHeight="1"/>
    <row r="7252" ht="42" customHeight="1"/>
    <row r="7253" ht="42" customHeight="1"/>
    <row r="7254" ht="42" customHeight="1"/>
    <row r="7255" ht="42" customHeight="1"/>
    <row r="7256" ht="42" customHeight="1"/>
    <row r="7257" ht="42" customHeight="1"/>
    <row r="7258" ht="42" customHeight="1"/>
    <row r="7259" ht="42" customHeight="1"/>
    <row r="7260" ht="42" customHeight="1"/>
    <row r="7261" ht="42" customHeight="1"/>
    <row r="7262" ht="42" customHeight="1"/>
    <row r="7263" ht="42" customHeight="1"/>
    <row r="7264" ht="42" customHeight="1"/>
    <row r="7265" ht="42" customHeight="1"/>
    <row r="7266" ht="42" customHeight="1"/>
    <row r="7267" ht="42" customHeight="1"/>
    <row r="7268" ht="42" customHeight="1"/>
    <row r="7269" ht="42" customHeight="1"/>
    <row r="7270" ht="42" customHeight="1"/>
    <row r="7271" ht="42" customHeight="1"/>
    <row r="7272" ht="42" customHeight="1"/>
    <row r="7273" ht="42" customHeight="1"/>
    <row r="7274" ht="42" customHeight="1"/>
    <row r="7275" ht="42" customHeight="1"/>
    <row r="7276" ht="42" customHeight="1"/>
    <row r="7277" ht="42" customHeight="1"/>
    <row r="7278" ht="42" customHeight="1"/>
    <row r="7279" ht="42" customHeight="1"/>
    <row r="7280" ht="42" customHeight="1"/>
    <row r="7281" ht="42" customHeight="1"/>
    <row r="7282" ht="42" customHeight="1"/>
    <row r="7283" ht="42" customHeight="1"/>
    <row r="7284" ht="42" customHeight="1"/>
    <row r="7285" ht="42" customHeight="1"/>
    <row r="7286" ht="42" customHeight="1"/>
    <row r="7287" ht="42" customHeight="1"/>
    <row r="7288" ht="42" customHeight="1"/>
    <row r="7289" ht="42" customHeight="1"/>
    <row r="7290" ht="42" customHeight="1"/>
    <row r="7291" ht="42" customHeight="1"/>
    <row r="7292" ht="42" customHeight="1"/>
    <row r="7293" ht="42" customHeight="1"/>
    <row r="7294" ht="42" customHeight="1"/>
    <row r="7295" ht="42" customHeight="1"/>
    <row r="7296" ht="42" customHeight="1"/>
    <row r="7297" ht="42" customHeight="1"/>
    <row r="7298" ht="42" customHeight="1"/>
    <row r="7299" ht="42" customHeight="1"/>
    <row r="7300" ht="42" customHeight="1"/>
    <row r="7301" ht="42" customHeight="1"/>
    <row r="7302" ht="42" customHeight="1"/>
    <row r="7303" ht="42" customHeight="1"/>
    <row r="7304" ht="42" customHeight="1"/>
    <row r="7305" ht="42" customHeight="1"/>
    <row r="7306" ht="42" customHeight="1"/>
    <row r="7307" ht="42" customHeight="1"/>
    <row r="7308" ht="42" customHeight="1"/>
    <row r="7309" ht="42" customHeight="1"/>
    <row r="7310" ht="42" customHeight="1"/>
    <row r="7311" ht="42" customHeight="1"/>
    <row r="7312" ht="42" customHeight="1"/>
    <row r="7313" ht="42" customHeight="1"/>
    <row r="7314" ht="42" customHeight="1"/>
    <row r="7315" ht="42" customHeight="1"/>
    <row r="7316" ht="42" customHeight="1"/>
    <row r="7317" ht="42" customHeight="1"/>
    <row r="7318" ht="42" customHeight="1"/>
    <row r="7319" ht="42" customHeight="1"/>
    <row r="7320" ht="42" customHeight="1"/>
    <row r="7321" ht="42" customHeight="1"/>
    <row r="7322" ht="42" customHeight="1"/>
    <row r="7323" ht="42" customHeight="1"/>
    <row r="7324" ht="42" customHeight="1"/>
    <row r="7325" ht="42" customHeight="1"/>
    <row r="7326" ht="42" customHeight="1"/>
    <row r="7327" ht="42" customHeight="1"/>
    <row r="7328" ht="42" customHeight="1"/>
    <row r="7329" ht="42" customHeight="1"/>
    <row r="7330" ht="42" customHeight="1"/>
    <row r="7331" ht="42" customHeight="1"/>
    <row r="7332" ht="42" customHeight="1"/>
    <row r="7333" ht="42" customHeight="1"/>
    <row r="7334" ht="42" customHeight="1"/>
    <row r="7335" ht="42" customHeight="1"/>
    <row r="7336" ht="42" customHeight="1"/>
    <row r="7337" ht="42" customHeight="1"/>
    <row r="7338" ht="42" customHeight="1"/>
    <row r="7339" ht="42" customHeight="1"/>
    <row r="7340" ht="42" customHeight="1"/>
    <row r="7341" ht="42" customHeight="1"/>
    <row r="7342" ht="42" customHeight="1"/>
    <row r="7343" ht="42" customHeight="1"/>
    <row r="7344" ht="42" customHeight="1"/>
    <row r="7345" ht="42" customHeight="1"/>
    <row r="7346" ht="42" customHeight="1"/>
    <row r="7347" ht="42" customHeight="1"/>
    <row r="7348" ht="42" customHeight="1"/>
    <row r="7349" ht="42" customHeight="1"/>
    <row r="7350" ht="42" customHeight="1"/>
    <row r="7351" ht="42" customHeight="1"/>
    <row r="7352" ht="42" customHeight="1"/>
    <row r="7353" ht="42" customHeight="1"/>
    <row r="7354" ht="42" customHeight="1"/>
    <row r="7355" ht="42" customHeight="1"/>
    <row r="7356" ht="42" customHeight="1"/>
    <row r="7357" ht="42" customHeight="1"/>
    <row r="7358" ht="42" customHeight="1"/>
    <row r="7359" ht="42" customHeight="1"/>
    <row r="7360" ht="42" customHeight="1"/>
    <row r="7361" ht="42" customHeight="1"/>
    <row r="7362" ht="42" customHeight="1"/>
    <row r="7363" ht="42" customHeight="1"/>
    <row r="7364" ht="42" customHeight="1"/>
    <row r="7365" ht="42" customHeight="1"/>
    <row r="7366" ht="42" customHeight="1"/>
    <row r="7367" ht="42" customHeight="1"/>
    <row r="7368" ht="42" customHeight="1"/>
    <row r="7369" ht="42" customHeight="1"/>
    <row r="7370" ht="42" customHeight="1"/>
    <row r="7371" ht="42" customHeight="1"/>
    <row r="7372" ht="42" customHeight="1"/>
    <row r="7373" ht="42" customHeight="1"/>
    <row r="7374" ht="42" customHeight="1"/>
    <row r="7375" ht="42" customHeight="1"/>
    <row r="7376" ht="42" customHeight="1"/>
    <row r="7377" ht="42" customHeight="1"/>
    <row r="7378" ht="42" customHeight="1"/>
    <row r="7379" ht="42" customHeight="1"/>
    <row r="7380" ht="42" customHeight="1"/>
    <row r="7381" ht="42" customHeight="1"/>
    <row r="7382" ht="42" customHeight="1"/>
    <row r="7383" ht="42" customHeight="1"/>
    <row r="7384" ht="42" customHeight="1"/>
    <row r="7385" ht="42" customHeight="1"/>
    <row r="7386" ht="42" customHeight="1"/>
    <row r="7387" ht="42" customHeight="1"/>
    <row r="7388" ht="42" customHeight="1"/>
    <row r="7389" ht="42" customHeight="1"/>
    <row r="7390" ht="42" customHeight="1"/>
    <row r="7391" ht="42" customHeight="1"/>
    <row r="7392" ht="42" customHeight="1"/>
    <row r="7393" ht="42" customHeight="1"/>
    <row r="7394" ht="42" customHeight="1"/>
    <row r="7395" ht="42" customHeight="1"/>
    <row r="7396" ht="42" customHeight="1"/>
    <row r="7397" ht="42" customHeight="1"/>
    <row r="7398" ht="42" customHeight="1"/>
    <row r="7399" ht="42" customHeight="1"/>
    <row r="7400" ht="42" customHeight="1"/>
    <row r="7401" ht="42" customHeight="1"/>
    <row r="7402" ht="42" customHeight="1"/>
    <row r="7403" ht="42" customHeight="1"/>
    <row r="7404" ht="42" customHeight="1"/>
    <row r="7405" ht="42" customHeight="1"/>
    <row r="7406" ht="42" customHeight="1"/>
    <row r="7407" ht="42" customHeight="1"/>
    <row r="7408" ht="42" customHeight="1"/>
    <row r="7409" ht="42" customHeight="1"/>
    <row r="7410" ht="42" customHeight="1"/>
    <row r="7411" ht="42" customHeight="1"/>
    <row r="7412" ht="42" customHeight="1"/>
    <row r="7413" ht="42" customHeight="1"/>
    <row r="7414" ht="42" customHeight="1"/>
    <row r="7415" ht="42" customHeight="1"/>
    <row r="7416" ht="42" customHeight="1"/>
    <row r="7417" ht="42" customHeight="1"/>
    <row r="7418" ht="42" customHeight="1"/>
    <row r="7419" ht="42" customHeight="1"/>
    <row r="7420" ht="42" customHeight="1"/>
    <row r="7421" ht="42" customHeight="1"/>
    <row r="7422" ht="42" customHeight="1"/>
    <row r="7423" ht="42" customHeight="1"/>
    <row r="7424" ht="42" customHeight="1"/>
    <row r="7425" ht="42" customHeight="1"/>
    <row r="7426" ht="42" customHeight="1"/>
    <row r="7427" ht="42" customHeight="1"/>
    <row r="7428" ht="42" customHeight="1"/>
    <row r="7429" ht="42" customHeight="1"/>
    <row r="7430" ht="42" customHeight="1"/>
    <row r="7431" ht="42" customHeight="1"/>
    <row r="7432" ht="42" customHeight="1"/>
    <row r="7433" ht="42" customHeight="1"/>
    <row r="7434" ht="42" customHeight="1"/>
    <row r="7435" ht="42" customHeight="1"/>
    <row r="7436" ht="42" customHeight="1"/>
    <row r="7437" ht="42" customHeight="1"/>
    <row r="7438" ht="42" customHeight="1"/>
    <row r="7439" ht="42" customHeight="1"/>
    <row r="7440" ht="42" customHeight="1"/>
    <row r="7441" ht="42" customHeight="1"/>
    <row r="7442" ht="42" customHeight="1"/>
    <row r="7443" ht="42" customHeight="1"/>
    <row r="7444" ht="42" customHeight="1"/>
    <row r="7445" ht="42" customHeight="1"/>
    <row r="7446" ht="42" customHeight="1"/>
    <row r="7447" ht="42" customHeight="1"/>
    <row r="7448" ht="42" customHeight="1"/>
    <row r="7449" ht="42" customHeight="1"/>
    <row r="7450" ht="42" customHeight="1"/>
    <row r="7451" ht="42" customHeight="1"/>
    <row r="7452" ht="42" customHeight="1"/>
    <row r="7453" ht="42" customHeight="1"/>
    <row r="7454" ht="42" customHeight="1"/>
    <row r="7455" ht="42" customHeight="1"/>
    <row r="7456" ht="42" customHeight="1"/>
    <row r="7457" ht="42" customHeight="1"/>
    <row r="7458" ht="42" customHeight="1"/>
    <row r="7459" ht="42" customHeight="1"/>
    <row r="7460" ht="42" customHeight="1"/>
    <row r="7461" ht="42" customHeight="1"/>
    <row r="7462" ht="42" customHeight="1"/>
    <row r="7463" ht="42" customHeight="1"/>
    <row r="7464" ht="42" customHeight="1"/>
    <row r="7465" ht="42" customHeight="1"/>
    <row r="7466" ht="42" customHeight="1"/>
    <row r="7467" ht="42" customHeight="1"/>
    <row r="7468" ht="42" customHeight="1"/>
    <row r="7469" ht="42" customHeight="1"/>
    <row r="7470" ht="42" customHeight="1"/>
    <row r="7471" ht="42" customHeight="1"/>
    <row r="7472" ht="42" customHeight="1"/>
    <row r="7473" ht="42" customHeight="1"/>
    <row r="7474" ht="42" customHeight="1"/>
    <row r="7475" ht="42" customHeight="1"/>
    <row r="7476" ht="42" customHeight="1"/>
    <row r="7477" ht="42" customHeight="1"/>
    <row r="7478" ht="42" customHeight="1"/>
    <row r="7479" ht="42" customHeight="1"/>
    <row r="7480" ht="42" customHeight="1"/>
    <row r="7481" ht="42" customHeight="1"/>
    <row r="7482" ht="42" customHeight="1"/>
    <row r="7483" ht="42" customHeight="1"/>
    <row r="7484" ht="42" customHeight="1"/>
    <row r="7485" ht="42" customHeight="1"/>
    <row r="7486" ht="42" customHeight="1"/>
    <row r="7487" ht="42" customHeight="1"/>
    <row r="7488" ht="42" customHeight="1"/>
    <row r="7489" ht="42" customHeight="1"/>
    <row r="7490" ht="42" customHeight="1"/>
    <row r="7491" ht="42" customHeight="1"/>
    <row r="7492" ht="42" customHeight="1"/>
    <row r="7493" ht="42" customHeight="1"/>
    <row r="7494" ht="42" customHeight="1"/>
    <row r="7495" ht="42" customHeight="1"/>
    <row r="7496" ht="42" customHeight="1"/>
    <row r="7497" ht="42" customHeight="1"/>
    <row r="7498" ht="42" customHeight="1"/>
    <row r="7499" ht="42" customHeight="1"/>
    <row r="7500" ht="42" customHeight="1"/>
    <row r="7501" ht="42" customHeight="1"/>
    <row r="7502" ht="42" customHeight="1"/>
    <row r="7503" ht="42" customHeight="1"/>
    <row r="7504" ht="42" customHeight="1"/>
    <row r="7505" ht="42" customHeight="1"/>
    <row r="7506" ht="42" customHeight="1"/>
    <row r="7507" ht="42" customHeight="1"/>
    <row r="7508" ht="42" customHeight="1"/>
    <row r="7509" ht="42" customHeight="1"/>
    <row r="7510" ht="42" customHeight="1"/>
    <row r="7511" ht="42" customHeight="1"/>
    <row r="7512" ht="42" customHeight="1"/>
    <row r="7513" ht="42" customHeight="1"/>
    <row r="7514" ht="42" customHeight="1"/>
    <row r="7515" ht="42" customHeight="1"/>
    <row r="7516" ht="42" customHeight="1"/>
    <row r="7517" ht="42" customHeight="1"/>
    <row r="7518" ht="42" customHeight="1"/>
    <row r="7519" ht="42" customHeight="1"/>
    <row r="7520" ht="42" customHeight="1"/>
    <row r="7521" ht="42" customHeight="1"/>
    <row r="7522" ht="42" customHeight="1"/>
    <row r="7523" ht="42" customHeight="1"/>
    <row r="7524" ht="42" customHeight="1"/>
    <row r="7525" ht="42" customHeight="1"/>
    <row r="7526" ht="42" customHeight="1"/>
    <row r="7527" ht="42" customHeight="1"/>
    <row r="7528" ht="42" customHeight="1"/>
    <row r="7529" ht="42" customHeight="1"/>
    <row r="7530" ht="42" customHeight="1"/>
    <row r="7531" ht="42" customHeight="1"/>
    <row r="7532" ht="42" customHeight="1"/>
    <row r="7533" ht="42" customHeight="1"/>
    <row r="7534" ht="42" customHeight="1"/>
    <row r="7535" ht="42" customHeight="1"/>
    <row r="7536" ht="42" customHeight="1"/>
    <row r="7537" ht="42" customHeight="1"/>
    <row r="7538" ht="42" customHeight="1"/>
    <row r="7539" ht="42" customHeight="1"/>
    <row r="7540" ht="42" customHeight="1"/>
    <row r="7541" ht="42" customHeight="1"/>
    <row r="7542" ht="42" customHeight="1"/>
    <row r="7543" ht="42" customHeight="1"/>
    <row r="7544" ht="42" customHeight="1"/>
    <row r="7545" ht="42" customHeight="1"/>
    <row r="7546" ht="42" customHeight="1"/>
    <row r="7547" ht="42" customHeight="1"/>
    <row r="7548" ht="42" customHeight="1"/>
    <row r="7549" ht="42" customHeight="1"/>
    <row r="7550" ht="42" customHeight="1"/>
    <row r="7551" ht="42" customHeight="1"/>
    <row r="7552" ht="42" customHeight="1"/>
    <row r="7553" ht="42" customHeight="1"/>
    <row r="7554" ht="42" customHeight="1"/>
    <row r="7555" ht="42" customHeight="1"/>
    <row r="7556" ht="42" customHeight="1"/>
    <row r="7557" ht="42" customHeight="1"/>
    <row r="7558" ht="42" customHeight="1"/>
    <row r="7559" ht="42" customHeight="1"/>
    <row r="7560" ht="42" customHeight="1"/>
    <row r="7561" ht="42" customHeight="1"/>
    <row r="7562" ht="42" customHeight="1"/>
    <row r="7563" ht="42" customHeight="1"/>
    <row r="7564" ht="42" customHeight="1"/>
    <row r="7565" ht="42" customHeight="1"/>
    <row r="7566" ht="42" customHeight="1"/>
    <row r="7567" ht="42" customHeight="1"/>
    <row r="7568" ht="42" customHeight="1"/>
    <row r="7569" ht="42" customHeight="1"/>
    <row r="7570" ht="42" customHeight="1"/>
    <row r="7571" ht="42" customHeight="1"/>
    <row r="7572" ht="42" customHeight="1"/>
    <row r="7573" ht="42" customHeight="1"/>
    <row r="7574" ht="42" customHeight="1"/>
    <row r="7575" ht="42" customHeight="1"/>
    <row r="7576" ht="42" customHeight="1"/>
    <row r="7577" ht="42" customHeight="1"/>
    <row r="7578" ht="42" customHeight="1"/>
    <row r="7579" ht="42" customHeight="1"/>
    <row r="7580" ht="42" customHeight="1"/>
    <row r="7581" ht="42" customHeight="1"/>
    <row r="7582" ht="42" customHeight="1"/>
    <row r="7583" ht="42" customHeight="1"/>
    <row r="7584" ht="42" customHeight="1"/>
    <row r="7585" ht="42" customHeight="1"/>
    <row r="7586" ht="42" customHeight="1"/>
    <row r="7587" ht="42" customHeight="1"/>
    <row r="7588" ht="42" customHeight="1"/>
    <row r="7589" ht="42" customHeight="1"/>
    <row r="7590" ht="42" customHeight="1"/>
    <row r="7591" ht="42" customHeight="1"/>
    <row r="7592" ht="42" customHeight="1"/>
    <row r="7593" ht="42" customHeight="1"/>
    <row r="7594" ht="42" customHeight="1"/>
    <row r="7595" ht="42" customHeight="1"/>
    <row r="7596" ht="42" customHeight="1"/>
    <row r="7597" ht="42" customHeight="1"/>
    <row r="7598" ht="42" customHeight="1"/>
    <row r="7599" ht="42" customHeight="1"/>
    <row r="7600" ht="42" customHeight="1"/>
    <row r="7601" ht="42" customHeight="1"/>
    <row r="7602" ht="42" customHeight="1"/>
    <row r="7603" ht="42" customHeight="1"/>
    <row r="7604" ht="42" customHeight="1"/>
    <row r="7605" ht="42" customHeight="1"/>
    <row r="7606" ht="42" customHeight="1"/>
    <row r="7607" ht="42" customHeight="1"/>
    <row r="7608" ht="42" customHeight="1"/>
    <row r="7609" ht="42" customHeight="1"/>
    <row r="7610" ht="42" customHeight="1"/>
    <row r="7611" ht="42" customHeight="1"/>
    <row r="7612" ht="42" customHeight="1"/>
    <row r="7613" ht="42" customHeight="1"/>
    <row r="7614" ht="42" customHeight="1"/>
    <row r="7615" ht="42" customHeight="1"/>
    <row r="7616" ht="42" customHeight="1"/>
    <row r="7617" ht="42" customHeight="1"/>
    <row r="7618" ht="42" customHeight="1"/>
    <row r="7619" ht="42" customHeight="1"/>
    <row r="7620" ht="42" customHeight="1"/>
    <row r="7621" ht="42" customHeight="1"/>
    <row r="7622" ht="42" customHeight="1"/>
    <row r="7623" ht="42" customHeight="1"/>
    <row r="7624" ht="42" customHeight="1"/>
    <row r="7625" ht="42" customHeight="1"/>
    <row r="7626" ht="42" customHeight="1"/>
    <row r="7627" ht="42" customHeight="1"/>
    <row r="7628" ht="42" customHeight="1"/>
    <row r="7629" ht="42" customHeight="1"/>
    <row r="7630" ht="42" customHeight="1"/>
    <row r="7631" ht="42" customHeight="1"/>
    <row r="7632" ht="42" customHeight="1"/>
    <row r="7633" ht="42" customHeight="1"/>
    <row r="7634" ht="42" customHeight="1"/>
    <row r="7635" ht="42" customHeight="1"/>
    <row r="7636" ht="42" customHeight="1"/>
    <row r="7637" ht="42" customHeight="1"/>
    <row r="7638" ht="42" customHeight="1"/>
    <row r="7639" ht="42" customHeight="1"/>
    <row r="7640" ht="42" customHeight="1"/>
    <row r="7641" ht="42" customHeight="1"/>
    <row r="7642" ht="42" customHeight="1"/>
    <row r="7643" ht="42" customHeight="1"/>
    <row r="7644" ht="42" customHeight="1"/>
    <row r="7645" ht="42" customHeight="1"/>
    <row r="7646" ht="42" customHeight="1"/>
    <row r="7647" ht="42" customHeight="1"/>
    <row r="7648" ht="42" customHeight="1"/>
    <row r="7649" ht="42" customHeight="1"/>
    <row r="7650" ht="42" customHeight="1"/>
    <row r="7651" ht="42" customHeight="1"/>
    <row r="7652" ht="42" customHeight="1"/>
    <row r="7653" ht="42" customHeight="1"/>
    <row r="7654" ht="42" customHeight="1"/>
    <row r="7655" ht="42" customHeight="1"/>
    <row r="7656" ht="42" customHeight="1"/>
    <row r="7657" ht="42" customHeight="1"/>
    <row r="7658" ht="42" customHeight="1"/>
    <row r="7659" ht="42" customHeight="1"/>
    <row r="7660" ht="42" customHeight="1"/>
    <row r="7661" ht="42" customHeight="1"/>
    <row r="7662" ht="42" customHeight="1"/>
    <row r="7663" ht="42" customHeight="1"/>
    <row r="7664" ht="42" customHeight="1"/>
    <row r="7665" ht="42" customHeight="1"/>
    <row r="7666" ht="42" customHeight="1"/>
    <row r="7667" ht="42" customHeight="1"/>
    <row r="7668" ht="42" customHeight="1"/>
    <row r="7669" ht="42" customHeight="1"/>
    <row r="7670" ht="42" customHeight="1"/>
    <row r="7671" ht="42" customHeight="1"/>
    <row r="7672" ht="42" customHeight="1"/>
    <row r="7673" ht="42" customHeight="1"/>
    <row r="7674" ht="42" customHeight="1"/>
    <row r="7675" ht="42" customHeight="1"/>
    <row r="7676" ht="42" customHeight="1"/>
    <row r="7677" ht="42" customHeight="1"/>
    <row r="7678" ht="42" customHeight="1"/>
    <row r="7679" ht="42" customHeight="1"/>
    <row r="7680" ht="42" customHeight="1"/>
    <row r="7681" ht="42" customHeight="1"/>
    <row r="7682" ht="42" customHeight="1"/>
    <row r="7683" ht="42" customHeight="1"/>
    <row r="7684" ht="42" customHeight="1"/>
    <row r="7685" ht="42" customHeight="1"/>
    <row r="7686" ht="42" customHeight="1"/>
    <row r="7687" ht="42" customHeight="1"/>
    <row r="7688" ht="42" customHeight="1"/>
    <row r="7689" ht="42" customHeight="1"/>
    <row r="7690" ht="42" customHeight="1"/>
    <row r="7691" ht="42" customHeight="1"/>
    <row r="7692" ht="42" customHeight="1"/>
    <row r="7693" ht="42" customHeight="1"/>
    <row r="7694" ht="42" customHeight="1"/>
    <row r="7695" ht="42" customHeight="1"/>
    <row r="7696" ht="42" customHeight="1"/>
    <row r="7697" ht="42" customHeight="1"/>
    <row r="7698" ht="42" customHeight="1"/>
    <row r="7699" ht="42" customHeight="1"/>
    <row r="7700" ht="42" customHeight="1"/>
    <row r="7701" ht="42" customHeight="1"/>
    <row r="7702" ht="42" customHeight="1"/>
    <row r="7703" ht="42" customHeight="1"/>
    <row r="7704" ht="42" customHeight="1"/>
    <row r="7705" ht="42" customHeight="1"/>
    <row r="7706" ht="42" customHeight="1"/>
    <row r="7707" ht="42" customHeight="1"/>
    <row r="7708" ht="42" customHeight="1"/>
    <row r="7709" ht="42" customHeight="1"/>
    <row r="7710" ht="42" customHeight="1"/>
    <row r="7711" ht="42" customHeight="1"/>
    <row r="7712" ht="42" customHeight="1"/>
    <row r="7713" ht="42" customHeight="1"/>
    <row r="7714" ht="42" customHeight="1"/>
    <row r="7715" ht="42" customHeight="1"/>
    <row r="7716" ht="42" customHeight="1"/>
    <row r="7717" ht="42" customHeight="1"/>
    <row r="7718" ht="42" customHeight="1"/>
    <row r="7719" ht="42" customHeight="1"/>
    <row r="7720" ht="42" customHeight="1"/>
    <row r="7721" ht="42" customHeight="1"/>
    <row r="7722" ht="42" customHeight="1"/>
    <row r="7723" ht="42" customHeight="1"/>
    <row r="7724" ht="42" customHeight="1"/>
    <row r="7725" ht="42" customHeight="1"/>
    <row r="7726" ht="42" customHeight="1"/>
    <row r="7727" ht="42" customHeight="1"/>
    <row r="7728" ht="42" customHeight="1"/>
    <row r="7729" ht="42" customHeight="1"/>
    <row r="7730" ht="42" customHeight="1"/>
    <row r="7731" ht="42" customHeight="1"/>
    <row r="7732" ht="42" customHeight="1"/>
    <row r="7733" ht="42" customHeight="1"/>
    <row r="7734" ht="42" customHeight="1"/>
    <row r="7735" ht="42" customHeight="1"/>
    <row r="7736" ht="42" customHeight="1"/>
    <row r="7737" ht="42" customHeight="1"/>
    <row r="7738" ht="42" customHeight="1"/>
    <row r="7739" ht="42" customHeight="1"/>
    <row r="7740" ht="42" customHeight="1"/>
    <row r="7741" ht="42" customHeight="1"/>
    <row r="7742" ht="42" customHeight="1"/>
    <row r="7743" ht="42" customHeight="1"/>
    <row r="7744" ht="42" customHeight="1"/>
    <row r="7745" ht="42" customHeight="1"/>
    <row r="7746" ht="42" customHeight="1"/>
    <row r="7747" ht="42" customHeight="1"/>
    <row r="7748" ht="42" customHeight="1"/>
    <row r="7749" ht="42" customHeight="1"/>
    <row r="7750" ht="42" customHeight="1"/>
    <row r="7751" ht="42" customHeight="1"/>
    <row r="7752" ht="42" customHeight="1"/>
    <row r="7753" ht="42" customHeight="1"/>
    <row r="7754" ht="42" customHeight="1"/>
    <row r="7755" ht="42" customHeight="1"/>
    <row r="7756" ht="42" customHeight="1"/>
    <row r="7757" ht="42" customHeight="1"/>
    <row r="7758" ht="42" customHeight="1"/>
    <row r="7759" ht="42" customHeight="1"/>
    <row r="7760" ht="42" customHeight="1"/>
    <row r="7761" ht="42" customHeight="1"/>
    <row r="7762" ht="42" customHeight="1"/>
    <row r="7763" ht="42" customHeight="1"/>
    <row r="7764" ht="42" customHeight="1"/>
    <row r="7765" ht="42" customHeight="1"/>
    <row r="7766" ht="42" customHeight="1"/>
    <row r="7767" ht="42" customHeight="1"/>
    <row r="7768" ht="42" customHeight="1"/>
    <row r="7769" ht="42" customHeight="1"/>
    <row r="7770" ht="42" customHeight="1"/>
    <row r="7771" ht="42" customHeight="1"/>
    <row r="7772" ht="42" customHeight="1"/>
    <row r="7773" ht="42" customHeight="1"/>
    <row r="7774" ht="42" customHeight="1"/>
    <row r="7775" ht="42" customHeight="1"/>
    <row r="7776" ht="42" customHeight="1"/>
    <row r="7777" ht="42" customHeight="1"/>
    <row r="7778" ht="42" customHeight="1"/>
    <row r="7779" ht="42" customHeight="1"/>
    <row r="7780" ht="42" customHeight="1"/>
    <row r="7781" ht="42" customHeight="1"/>
    <row r="7782" ht="42" customHeight="1"/>
    <row r="7783" ht="42" customHeight="1"/>
    <row r="7784" ht="42" customHeight="1"/>
    <row r="7785" ht="42" customHeight="1"/>
    <row r="7786" ht="42" customHeight="1"/>
    <row r="7787" ht="42" customHeight="1"/>
    <row r="7788" ht="42" customHeight="1"/>
    <row r="7789" ht="42" customHeight="1"/>
    <row r="7790" ht="42" customHeight="1"/>
    <row r="7791" ht="42" customHeight="1"/>
    <row r="7792" ht="42" customHeight="1"/>
    <row r="7793" ht="42" customHeight="1"/>
    <row r="7794" ht="42" customHeight="1"/>
    <row r="7795" ht="42" customHeight="1"/>
    <row r="7796" ht="42" customHeight="1"/>
    <row r="7797" ht="42" customHeight="1"/>
    <row r="7798" ht="42" customHeight="1"/>
    <row r="7799" ht="42" customHeight="1"/>
    <row r="7800" ht="42" customHeight="1"/>
    <row r="7801" ht="42" customHeight="1"/>
    <row r="7802" ht="42" customHeight="1"/>
    <row r="7803" ht="42" customHeight="1"/>
    <row r="7804" ht="42" customHeight="1"/>
    <row r="7805" ht="42" customHeight="1"/>
    <row r="7806" ht="42" customHeight="1"/>
    <row r="7807" ht="42" customHeight="1"/>
    <row r="7808" ht="42" customHeight="1"/>
    <row r="7809" ht="42" customHeight="1"/>
    <row r="7810" ht="42" customHeight="1"/>
    <row r="7811" ht="42" customHeight="1"/>
    <row r="7812" ht="42" customHeight="1"/>
    <row r="7813" ht="42" customHeight="1"/>
    <row r="7814" ht="42" customHeight="1"/>
    <row r="7815" ht="42" customHeight="1"/>
    <row r="7816" ht="42" customHeight="1"/>
    <row r="7817" ht="42" customHeight="1"/>
    <row r="7818" ht="42" customHeight="1"/>
    <row r="7819" ht="42" customHeight="1"/>
    <row r="7820" ht="42" customHeight="1"/>
    <row r="7821" ht="42" customHeight="1"/>
    <row r="7822" ht="42" customHeight="1"/>
    <row r="7823" ht="42" customHeight="1"/>
    <row r="7824" ht="42" customHeight="1"/>
    <row r="7825" ht="42" customHeight="1"/>
    <row r="7826" ht="42" customHeight="1"/>
    <row r="7827" ht="42" customHeight="1"/>
    <row r="7828" ht="42" customHeight="1"/>
    <row r="7829" ht="42" customHeight="1"/>
    <row r="7830" ht="42" customHeight="1"/>
    <row r="7831" ht="42" customHeight="1"/>
    <row r="7832" ht="42" customHeight="1"/>
    <row r="7833" ht="42" customHeight="1"/>
    <row r="7834" ht="42" customHeight="1"/>
    <row r="7835" ht="42" customHeight="1"/>
    <row r="7836" ht="42" customHeight="1"/>
    <row r="7837" ht="42" customHeight="1"/>
    <row r="7838" ht="42" customHeight="1"/>
    <row r="7839" ht="42" customHeight="1"/>
    <row r="7840" ht="42" customHeight="1"/>
    <row r="7841" ht="42" customHeight="1"/>
    <row r="7842" ht="42" customHeight="1"/>
    <row r="7843" ht="42" customHeight="1"/>
    <row r="7844" ht="42" customHeight="1"/>
    <row r="7845" ht="42" customHeight="1"/>
    <row r="7846" ht="42" customHeight="1"/>
    <row r="7847" ht="42" customHeight="1"/>
    <row r="7848" ht="42" customHeight="1"/>
    <row r="7849" ht="42" customHeight="1"/>
    <row r="7850" ht="42" customHeight="1"/>
    <row r="7851" ht="42" customHeight="1"/>
    <row r="7852" ht="42" customHeight="1"/>
    <row r="7853" ht="42" customHeight="1"/>
    <row r="7854" ht="42" customHeight="1"/>
    <row r="7855" ht="42" customHeight="1"/>
    <row r="7856" ht="42" customHeight="1"/>
    <row r="7857" ht="42" customHeight="1"/>
    <row r="7858" ht="42" customHeight="1"/>
    <row r="7859" ht="42" customHeight="1"/>
    <row r="7860" ht="42" customHeight="1"/>
    <row r="7861" ht="42" customHeight="1"/>
    <row r="7862" ht="42" customHeight="1"/>
    <row r="7863" ht="42" customHeight="1"/>
    <row r="7864" ht="42" customHeight="1"/>
    <row r="7865" ht="42" customHeight="1"/>
    <row r="7866" ht="42" customHeight="1"/>
    <row r="7867" ht="42" customHeight="1"/>
    <row r="7868" ht="42" customHeight="1"/>
    <row r="7869" ht="42" customHeight="1"/>
    <row r="7870" ht="42" customHeight="1"/>
    <row r="7871" ht="42" customHeight="1"/>
    <row r="7872" ht="42" customHeight="1"/>
    <row r="7873" ht="42" customHeight="1"/>
    <row r="7874" ht="42" customHeight="1"/>
    <row r="7875" ht="42" customHeight="1"/>
    <row r="7876" ht="42" customHeight="1"/>
    <row r="7877" ht="42" customHeight="1"/>
    <row r="7878" ht="42" customHeight="1"/>
    <row r="7879" ht="42" customHeight="1"/>
    <row r="7880" ht="42" customHeight="1"/>
    <row r="7881" ht="42" customHeight="1"/>
    <row r="7882" ht="42" customHeight="1"/>
    <row r="7883" ht="42" customHeight="1"/>
    <row r="7884" ht="42" customHeight="1"/>
    <row r="7885" ht="42" customHeight="1"/>
    <row r="7886" ht="42" customHeight="1"/>
    <row r="7887" ht="42" customHeight="1"/>
    <row r="7888" ht="42" customHeight="1"/>
    <row r="7889" ht="42" customHeight="1"/>
    <row r="7890" ht="42" customHeight="1"/>
    <row r="7891" ht="42" customHeight="1"/>
    <row r="7892" ht="42" customHeight="1"/>
    <row r="7893" ht="42" customHeight="1"/>
    <row r="7894" ht="42" customHeight="1"/>
    <row r="7895" ht="42" customHeight="1"/>
    <row r="7896" ht="42" customHeight="1"/>
    <row r="7897" ht="42" customHeight="1"/>
    <row r="7898" ht="42" customHeight="1"/>
    <row r="7899" ht="42" customHeight="1"/>
    <row r="7900" ht="42" customHeight="1"/>
    <row r="7901" ht="42" customHeight="1"/>
    <row r="7902" ht="42" customHeight="1"/>
    <row r="7903" ht="42" customHeight="1"/>
    <row r="7904" ht="42" customHeight="1"/>
    <row r="7905" ht="42" customHeight="1"/>
    <row r="7906" ht="42" customHeight="1"/>
    <row r="7907" ht="42" customHeight="1"/>
    <row r="7908" ht="42" customHeight="1"/>
    <row r="7909" ht="42" customHeight="1"/>
    <row r="7910" ht="42" customHeight="1"/>
    <row r="7911" ht="42" customHeight="1"/>
    <row r="7912" ht="42" customHeight="1"/>
    <row r="7913" ht="42" customHeight="1"/>
    <row r="7914" ht="42" customHeight="1"/>
    <row r="7915" ht="42" customHeight="1"/>
    <row r="7916" ht="42" customHeight="1"/>
    <row r="7917" ht="42" customHeight="1"/>
    <row r="7918" ht="42" customHeight="1"/>
    <row r="7919" ht="42" customHeight="1"/>
    <row r="7920" ht="42" customHeight="1"/>
    <row r="7921" ht="42" customHeight="1"/>
    <row r="7922" ht="42" customHeight="1"/>
    <row r="7923" ht="42" customHeight="1"/>
    <row r="7924" ht="42" customHeight="1"/>
    <row r="7925" ht="42" customHeight="1"/>
    <row r="7926" ht="42" customHeight="1"/>
    <row r="7927" ht="42" customHeight="1"/>
    <row r="7928" ht="42" customHeight="1"/>
    <row r="7929" ht="42" customHeight="1"/>
    <row r="7930" ht="42" customHeight="1"/>
    <row r="7931" ht="42" customHeight="1"/>
    <row r="7932" ht="42" customHeight="1"/>
    <row r="7933" ht="42" customHeight="1"/>
    <row r="7934" ht="42" customHeight="1"/>
    <row r="7935" ht="42" customHeight="1"/>
    <row r="7936" ht="42" customHeight="1"/>
    <row r="7937" ht="42" customHeight="1"/>
    <row r="7938" ht="42" customHeight="1"/>
    <row r="7939" ht="42" customHeight="1"/>
    <row r="7940" ht="42" customHeight="1"/>
    <row r="7941" ht="42" customHeight="1"/>
    <row r="7942" ht="42" customHeight="1"/>
    <row r="7943" ht="42" customHeight="1"/>
    <row r="7944" ht="42" customHeight="1"/>
    <row r="7945" ht="42" customHeight="1"/>
    <row r="7946" ht="42" customHeight="1"/>
    <row r="7947" ht="42" customHeight="1"/>
    <row r="7948" ht="42" customHeight="1"/>
    <row r="7949" ht="42" customHeight="1"/>
    <row r="7950" ht="42" customHeight="1"/>
    <row r="7951" ht="42" customHeight="1"/>
    <row r="7952" ht="42" customHeight="1"/>
    <row r="7953" ht="42" customHeight="1"/>
    <row r="7954" ht="42" customHeight="1"/>
    <row r="7955" ht="42" customHeight="1"/>
    <row r="7956" ht="42" customHeight="1"/>
    <row r="7957" ht="42" customHeight="1"/>
    <row r="7958" ht="42" customHeight="1"/>
    <row r="7959" ht="42" customHeight="1"/>
    <row r="7960" ht="42" customHeight="1"/>
    <row r="7961" ht="42" customHeight="1"/>
    <row r="7962" ht="42" customHeight="1"/>
    <row r="7963" ht="42" customHeight="1"/>
    <row r="7964" ht="42" customHeight="1"/>
    <row r="7965" ht="42" customHeight="1"/>
    <row r="7966" ht="42" customHeight="1"/>
    <row r="7967" ht="42" customHeight="1"/>
    <row r="7968" ht="42" customHeight="1"/>
    <row r="7969" ht="42" customHeight="1"/>
    <row r="7970" ht="42" customHeight="1"/>
    <row r="7971" ht="42" customHeight="1"/>
    <row r="7972" ht="42" customHeight="1"/>
    <row r="7973" ht="42" customHeight="1"/>
    <row r="7974" ht="42" customHeight="1"/>
    <row r="7975" ht="42" customHeight="1"/>
    <row r="7976" ht="42" customHeight="1"/>
    <row r="7977" ht="42" customHeight="1"/>
    <row r="7978" ht="42" customHeight="1"/>
    <row r="7979" ht="42" customHeight="1"/>
    <row r="7980" ht="42" customHeight="1"/>
    <row r="7981" ht="42" customHeight="1"/>
    <row r="7982" ht="42" customHeight="1"/>
    <row r="7983" ht="42" customHeight="1"/>
    <row r="7984" ht="42" customHeight="1"/>
    <row r="7985" ht="42" customHeight="1"/>
    <row r="7986" ht="42" customHeight="1"/>
    <row r="7987" ht="42" customHeight="1"/>
    <row r="7988" ht="42" customHeight="1"/>
    <row r="7989" ht="42" customHeight="1"/>
    <row r="7990" ht="42" customHeight="1"/>
    <row r="7991" ht="42" customHeight="1"/>
    <row r="7992" ht="42" customHeight="1"/>
    <row r="7993" ht="42" customHeight="1"/>
    <row r="7994" ht="42" customHeight="1"/>
    <row r="7995" ht="42" customHeight="1"/>
    <row r="7996" ht="42" customHeight="1"/>
    <row r="7997" ht="42" customHeight="1"/>
    <row r="7998" ht="42" customHeight="1"/>
    <row r="7999" ht="42" customHeight="1"/>
    <row r="8000" ht="42" customHeight="1"/>
    <row r="8001" ht="42" customHeight="1"/>
    <row r="8002" ht="42" customHeight="1"/>
    <row r="8003" ht="42" customHeight="1"/>
    <row r="8004" ht="42" customHeight="1"/>
    <row r="8005" ht="42" customHeight="1"/>
    <row r="8006" ht="42" customHeight="1"/>
    <row r="8007" ht="42" customHeight="1"/>
    <row r="8008" ht="42" customHeight="1"/>
    <row r="8009" ht="42" customHeight="1"/>
    <row r="8010" ht="42" customHeight="1"/>
    <row r="8011" ht="42" customHeight="1"/>
    <row r="8012" ht="42" customHeight="1"/>
    <row r="8013" ht="42" customHeight="1"/>
    <row r="8014" ht="42" customHeight="1"/>
    <row r="8015" ht="42" customHeight="1"/>
    <row r="8016" ht="42" customHeight="1"/>
    <row r="8017" ht="42" customHeight="1"/>
    <row r="8018" ht="42" customHeight="1"/>
    <row r="8019" ht="42" customHeight="1"/>
    <row r="8020" ht="42" customHeight="1"/>
    <row r="8021" ht="42" customHeight="1"/>
    <row r="8022" ht="42" customHeight="1"/>
    <row r="8023" ht="42" customHeight="1"/>
    <row r="8024" ht="42" customHeight="1"/>
    <row r="8025" ht="42" customHeight="1"/>
    <row r="8026" ht="42" customHeight="1"/>
    <row r="8027" ht="42" customHeight="1"/>
    <row r="8028" ht="42" customHeight="1"/>
    <row r="8029" ht="42" customHeight="1"/>
    <row r="8030" ht="42" customHeight="1"/>
    <row r="8031" ht="42" customHeight="1"/>
    <row r="8032" ht="42" customHeight="1"/>
    <row r="8033" ht="42" customHeight="1"/>
    <row r="8034" ht="42" customHeight="1"/>
    <row r="8035" ht="42" customHeight="1"/>
    <row r="8036" ht="42" customHeight="1"/>
    <row r="8037" ht="42" customHeight="1"/>
    <row r="8038" ht="42" customHeight="1"/>
    <row r="8039" ht="42" customHeight="1"/>
    <row r="8040" ht="42" customHeight="1"/>
    <row r="8041" ht="42" customHeight="1"/>
    <row r="8042" ht="42" customHeight="1"/>
    <row r="8043" ht="42" customHeight="1"/>
    <row r="8044" ht="42" customHeight="1"/>
    <row r="8045" ht="42" customHeight="1"/>
    <row r="8046" ht="42" customHeight="1"/>
    <row r="8047" ht="42" customHeight="1"/>
    <row r="8048" ht="42" customHeight="1"/>
    <row r="8049" ht="42" customHeight="1"/>
    <row r="8050" ht="42" customHeight="1"/>
    <row r="8051" ht="42" customHeight="1"/>
    <row r="8052" ht="42" customHeight="1"/>
    <row r="8053" ht="42" customHeight="1"/>
    <row r="8054" ht="42" customHeight="1"/>
    <row r="8055" ht="42" customHeight="1"/>
    <row r="8056" ht="42" customHeight="1"/>
    <row r="8057" ht="42" customHeight="1"/>
    <row r="8058" ht="42" customHeight="1"/>
    <row r="8059" ht="42" customHeight="1"/>
    <row r="8060" ht="42" customHeight="1"/>
    <row r="8061" ht="42" customHeight="1"/>
    <row r="8062" ht="42" customHeight="1"/>
    <row r="8063" ht="42" customHeight="1"/>
    <row r="8064" ht="42" customHeight="1"/>
    <row r="8065" ht="42" customHeight="1"/>
    <row r="8066" ht="42" customHeight="1"/>
    <row r="8067" ht="42" customHeight="1"/>
    <row r="8068" ht="42" customHeight="1"/>
    <row r="8069" ht="42" customHeight="1"/>
    <row r="8070" ht="42" customHeight="1"/>
    <row r="8071" ht="42" customHeight="1"/>
    <row r="8072" ht="42" customHeight="1"/>
    <row r="8073" ht="42" customHeight="1"/>
    <row r="8074" ht="42" customHeight="1"/>
    <row r="8075" ht="42" customHeight="1"/>
    <row r="8076" ht="42" customHeight="1"/>
    <row r="8077" ht="42" customHeight="1"/>
    <row r="8078" ht="42" customHeight="1"/>
    <row r="8079" ht="42" customHeight="1"/>
    <row r="8080" ht="42" customHeight="1"/>
    <row r="8081" ht="42" customHeight="1"/>
    <row r="8082" ht="42" customHeight="1"/>
    <row r="8083" ht="42" customHeight="1"/>
    <row r="8084" ht="42" customHeight="1"/>
    <row r="8085" ht="42" customHeight="1"/>
    <row r="8086" ht="42" customHeight="1"/>
    <row r="8087" ht="42" customHeight="1"/>
    <row r="8088" ht="42" customHeight="1"/>
    <row r="8089" ht="42" customHeight="1"/>
    <row r="8090" ht="42" customHeight="1"/>
    <row r="8091" ht="42" customHeight="1"/>
    <row r="8092" ht="42" customHeight="1"/>
    <row r="8093" ht="42" customHeight="1"/>
    <row r="8094" ht="42" customHeight="1"/>
    <row r="8095" ht="42" customHeight="1"/>
    <row r="8096" ht="42" customHeight="1"/>
    <row r="8097" ht="42" customHeight="1"/>
    <row r="8098" ht="42" customHeight="1"/>
    <row r="8099" ht="42" customHeight="1"/>
    <row r="8100" ht="42" customHeight="1"/>
    <row r="8101" ht="42" customHeight="1"/>
    <row r="8102" ht="42" customHeight="1"/>
    <row r="8103" ht="42" customHeight="1"/>
    <row r="8104" ht="42" customHeight="1"/>
    <row r="8105" ht="42" customHeight="1"/>
    <row r="8106" ht="42" customHeight="1"/>
    <row r="8107" ht="42" customHeight="1"/>
    <row r="8108" ht="42" customHeight="1"/>
    <row r="8109" ht="42" customHeight="1"/>
    <row r="8110" ht="42" customHeight="1"/>
    <row r="8111" ht="42" customHeight="1"/>
    <row r="8112" ht="42" customHeight="1"/>
    <row r="8113" ht="42" customHeight="1"/>
    <row r="8114" ht="42" customHeight="1"/>
    <row r="8115" ht="42" customHeight="1"/>
    <row r="8116" ht="42" customHeight="1"/>
    <row r="8117" ht="42" customHeight="1"/>
    <row r="8118" ht="42" customHeight="1"/>
    <row r="8119" ht="42" customHeight="1"/>
    <row r="8120" ht="42" customHeight="1"/>
    <row r="8121" ht="42" customHeight="1"/>
    <row r="8122" ht="42" customHeight="1"/>
    <row r="8123" ht="42" customHeight="1"/>
    <row r="8124" ht="42" customHeight="1"/>
    <row r="8125" ht="42" customHeight="1"/>
    <row r="8126" ht="42" customHeight="1"/>
    <row r="8127" ht="42" customHeight="1"/>
    <row r="8128" ht="42" customHeight="1"/>
    <row r="8129" ht="42" customHeight="1"/>
    <row r="8130" ht="42" customHeight="1"/>
    <row r="8131" ht="42" customHeight="1"/>
    <row r="8132" ht="42" customHeight="1"/>
    <row r="8133" ht="42" customHeight="1"/>
    <row r="8134" ht="42" customHeight="1"/>
    <row r="8135" ht="42" customHeight="1"/>
    <row r="8136" ht="42" customHeight="1"/>
    <row r="8137" ht="42" customHeight="1"/>
    <row r="8138" ht="42" customHeight="1"/>
    <row r="8139" ht="42" customHeight="1"/>
    <row r="8140" ht="42" customHeight="1"/>
    <row r="8141" ht="42" customHeight="1"/>
    <row r="8142" ht="42" customHeight="1"/>
    <row r="8143" ht="42" customHeight="1"/>
    <row r="8144" ht="42" customHeight="1"/>
    <row r="8145" ht="42" customHeight="1"/>
    <row r="8146" ht="42" customHeight="1"/>
    <row r="8147" ht="42" customHeight="1"/>
    <row r="8148" ht="42" customHeight="1"/>
    <row r="8149" ht="42" customHeight="1"/>
    <row r="8150" ht="42" customHeight="1"/>
    <row r="8151" ht="42" customHeight="1"/>
    <row r="8152" ht="42" customHeight="1"/>
    <row r="8153" ht="42" customHeight="1"/>
    <row r="8154" ht="42" customHeight="1"/>
    <row r="8155" ht="42" customHeight="1"/>
    <row r="8156" ht="42" customHeight="1"/>
    <row r="8157" ht="42" customHeight="1"/>
    <row r="8158" ht="42" customHeight="1"/>
    <row r="8159" ht="42" customHeight="1"/>
    <row r="8160" ht="42" customHeight="1"/>
    <row r="8161" ht="42" customHeight="1"/>
    <row r="8162" ht="42" customHeight="1"/>
    <row r="8163" ht="42" customHeight="1"/>
    <row r="8164" ht="42" customHeight="1"/>
    <row r="8165" ht="42" customHeight="1"/>
    <row r="8166" ht="42" customHeight="1"/>
    <row r="8167" ht="42" customHeight="1"/>
    <row r="8168" ht="42" customHeight="1"/>
    <row r="8169" ht="42" customHeight="1"/>
    <row r="8170" ht="42" customHeight="1"/>
    <row r="8171" ht="42" customHeight="1"/>
    <row r="8172" ht="42" customHeight="1"/>
    <row r="8173" ht="42" customHeight="1"/>
    <row r="8174" ht="42" customHeight="1"/>
    <row r="8175" ht="42" customHeight="1"/>
    <row r="8176" ht="42" customHeight="1"/>
    <row r="8177" ht="42" customHeight="1"/>
    <row r="8178" ht="42" customHeight="1"/>
    <row r="8179" ht="42" customHeight="1"/>
    <row r="8180" ht="42" customHeight="1"/>
    <row r="8181" ht="42" customHeight="1"/>
    <row r="8182" ht="42" customHeight="1"/>
    <row r="8183" ht="42" customHeight="1"/>
    <row r="8184" ht="42" customHeight="1"/>
    <row r="8185" ht="42" customHeight="1"/>
    <row r="8186" ht="42" customHeight="1"/>
    <row r="8187" ht="42" customHeight="1"/>
    <row r="8188" ht="42" customHeight="1"/>
    <row r="8189" ht="42" customHeight="1"/>
    <row r="8190" ht="42" customHeight="1"/>
    <row r="8191" ht="42" customHeight="1"/>
    <row r="8192" ht="42" customHeight="1"/>
    <row r="8193" ht="42" customHeight="1"/>
    <row r="8194" ht="42" customHeight="1"/>
    <row r="8195" ht="42" customHeight="1"/>
    <row r="8196" ht="42" customHeight="1"/>
    <row r="8197" ht="42" customHeight="1"/>
    <row r="8198" ht="42" customHeight="1"/>
    <row r="8199" ht="42" customHeight="1"/>
    <row r="8200" ht="42" customHeight="1"/>
    <row r="8201" ht="42" customHeight="1"/>
    <row r="8202" ht="42" customHeight="1"/>
    <row r="8203" ht="42" customHeight="1"/>
    <row r="8204" ht="42" customHeight="1"/>
    <row r="8205" ht="42" customHeight="1"/>
    <row r="8206" ht="42" customHeight="1"/>
    <row r="8207" ht="42" customHeight="1"/>
    <row r="8208" ht="42" customHeight="1"/>
    <row r="8209" ht="42" customHeight="1"/>
    <row r="8210" ht="42" customHeight="1"/>
    <row r="8211" ht="42" customHeight="1"/>
    <row r="8212" ht="42" customHeight="1"/>
    <row r="8213" ht="42" customHeight="1"/>
    <row r="8214" ht="42" customHeight="1"/>
    <row r="8215" ht="42" customHeight="1"/>
    <row r="8216" ht="42" customHeight="1"/>
    <row r="8217" ht="42" customHeight="1"/>
    <row r="8218" ht="42" customHeight="1"/>
    <row r="8219" ht="42" customHeight="1"/>
    <row r="8220" ht="42" customHeight="1"/>
    <row r="8221" ht="42" customHeight="1"/>
    <row r="8222" ht="42" customHeight="1"/>
    <row r="8223" ht="42" customHeight="1"/>
    <row r="8224" ht="42" customHeight="1"/>
    <row r="8225" ht="42" customHeight="1"/>
    <row r="8226" ht="42" customHeight="1"/>
    <row r="8227" ht="42" customHeight="1"/>
    <row r="8228" ht="42" customHeight="1"/>
    <row r="8229" ht="42" customHeight="1"/>
    <row r="8230" ht="42" customHeight="1"/>
    <row r="8231" ht="42" customHeight="1"/>
    <row r="8232" ht="42" customHeight="1"/>
    <row r="8233" ht="42" customHeight="1"/>
    <row r="8234" ht="42" customHeight="1"/>
    <row r="8235" ht="42" customHeight="1"/>
    <row r="8236" ht="42" customHeight="1"/>
    <row r="8237" ht="42" customHeight="1"/>
    <row r="8238" ht="42" customHeight="1"/>
    <row r="8239" ht="42" customHeight="1"/>
    <row r="8240" ht="42" customHeight="1"/>
    <row r="8241" ht="42" customHeight="1"/>
    <row r="8242" ht="42" customHeight="1"/>
    <row r="8243" ht="42" customHeight="1"/>
    <row r="8244" ht="42" customHeight="1"/>
    <row r="8245" ht="42" customHeight="1"/>
    <row r="8246" ht="42" customHeight="1"/>
    <row r="8247" ht="42" customHeight="1"/>
    <row r="8248" ht="42" customHeight="1"/>
    <row r="8249" ht="42" customHeight="1"/>
    <row r="8250" ht="42" customHeight="1"/>
    <row r="8251" ht="42" customHeight="1"/>
    <row r="8252" ht="42" customHeight="1"/>
    <row r="8253" ht="42" customHeight="1"/>
    <row r="8254" ht="42" customHeight="1"/>
    <row r="8255" ht="42" customHeight="1"/>
    <row r="8256" ht="42" customHeight="1"/>
    <row r="8257" ht="42" customHeight="1"/>
    <row r="8258" ht="42" customHeight="1"/>
    <row r="8259" ht="42" customHeight="1"/>
    <row r="8260" ht="42" customHeight="1"/>
    <row r="8261" ht="42" customHeight="1"/>
    <row r="8262" ht="42" customHeight="1"/>
    <row r="8263" ht="42" customHeight="1"/>
    <row r="8264" ht="42" customHeight="1"/>
    <row r="8265" ht="42" customHeight="1"/>
    <row r="8266" ht="42" customHeight="1"/>
    <row r="8267" ht="42" customHeight="1"/>
    <row r="8268" ht="42" customHeight="1"/>
    <row r="8269" ht="42" customHeight="1"/>
    <row r="8270" ht="42" customHeight="1"/>
    <row r="8271" ht="42" customHeight="1"/>
    <row r="8272" ht="42" customHeight="1"/>
    <row r="8273" ht="42" customHeight="1"/>
    <row r="8274" ht="42" customHeight="1"/>
    <row r="8275" ht="42" customHeight="1"/>
    <row r="8276" ht="42" customHeight="1"/>
    <row r="8277" ht="42" customHeight="1"/>
    <row r="8278" ht="42" customHeight="1"/>
    <row r="8279" ht="42" customHeight="1"/>
    <row r="8280" ht="42" customHeight="1"/>
    <row r="8281" ht="42" customHeight="1"/>
    <row r="8282" ht="42" customHeight="1"/>
    <row r="8283" ht="42" customHeight="1"/>
    <row r="8284" ht="42" customHeight="1"/>
    <row r="8285" ht="42" customHeight="1"/>
    <row r="8286" ht="42" customHeight="1"/>
    <row r="8287" ht="42" customHeight="1"/>
    <row r="8288" ht="42" customHeight="1"/>
    <row r="8289" ht="42" customHeight="1"/>
    <row r="8290" ht="42" customHeight="1"/>
    <row r="8291" ht="42" customHeight="1"/>
    <row r="8292" ht="42" customHeight="1"/>
    <row r="8293" ht="42" customHeight="1"/>
    <row r="8294" ht="42" customHeight="1"/>
    <row r="8295" ht="42" customHeight="1"/>
    <row r="8296" ht="42" customHeight="1"/>
    <row r="8297" ht="42" customHeight="1"/>
    <row r="8298" ht="42" customHeight="1"/>
    <row r="8299" ht="42" customHeight="1"/>
    <row r="8300" ht="42" customHeight="1"/>
    <row r="8301" ht="42" customHeight="1"/>
    <row r="8302" ht="42" customHeight="1"/>
    <row r="8303" ht="42" customHeight="1"/>
    <row r="8304" ht="42" customHeight="1"/>
    <row r="8305" ht="42" customHeight="1"/>
    <row r="8306" ht="42" customHeight="1"/>
    <row r="8307" ht="42" customHeight="1"/>
    <row r="8308" ht="42" customHeight="1"/>
    <row r="8309" ht="42" customHeight="1"/>
    <row r="8310" ht="42" customHeight="1"/>
    <row r="8311" ht="42" customHeight="1"/>
    <row r="8312" ht="42" customHeight="1"/>
    <row r="8313" ht="42" customHeight="1"/>
    <row r="8314" ht="42" customHeight="1"/>
    <row r="8315" ht="42" customHeight="1"/>
    <row r="8316" ht="42" customHeight="1"/>
    <row r="8317" ht="42" customHeight="1"/>
    <row r="8318" ht="42" customHeight="1"/>
    <row r="8319" ht="42" customHeight="1"/>
    <row r="8320" ht="42" customHeight="1"/>
    <row r="8321" ht="42" customHeight="1"/>
    <row r="8322" ht="42" customHeight="1"/>
    <row r="8323" ht="42" customHeight="1"/>
    <row r="8324" ht="42" customHeight="1"/>
    <row r="8325" ht="42" customHeight="1"/>
    <row r="8326" ht="42" customHeight="1"/>
    <row r="8327" ht="42" customHeight="1"/>
    <row r="8328" ht="42" customHeight="1"/>
    <row r="8329" ht="42" customHeight="1"/>
    <row r="8330" ht="42" customHeight="1"/>
    <row r="8331" ht="42" customHeight="1"/>
    <row r="8332" ht="42" customHeight="1"/>
    <row r="8333" ht="42" customHeight="1"/>
    <row r="8334" ht="42" customHeight="1"/>
    <row r="8335" ht="42" customHeight="1"/>
    <row r="8336" ht="42" customHeight="1"/>
    <row r="8337" ht="42" customHeight="1"/>
    <row r="8338" ht="42" customHeight="1"/>
    <row r="8339" ht="42" customHeight="1"/>
    <row r="8340" ht="42" customHeight="1"/>
    <row r="8341" ht="42" customHeight="1"/>
    <row r="8342" ht="42" customHeight="1"/>
    <row r="8343" ht="42" customHeight="1"/>
    <row r="8344" ht="42" customHeight="1"/>
    <row r="8345" ht="42" customHeight="1"/>
    <row r="8346" ht="42" customHeight="1"/>
    <row r="8347" ht="42" customHeight="1"/>
    <row r="8348" ht="42" customHeight="1"/>
    <row r="8349" ht="42" customHeight="1"/>
    <row r="8350" ht="42" customHeight="1"/>
    <row r="8351" ht="42" customHeight="1"/>
    <row r="8352" ht="42" customHeight="1"/>
    <row r="8353" ht="42" customHeight="1"/>
    <row r="8354" ht="42" customHeight="1"/>
    <row r="8355" ht="42" customHeight="1"/>
    <row r="8356" ht="42" customHeight="1"/>
    <row r="8357" ht="42" customHeight="1"/>
    <row r="8358" ht="42" customHeight="1"/>
    <row r="8359" ht="42" customHeight="1"/>
    <row r="8360" ht="42" customHeight="1"/>
    <row r="8361" ht="42" customHeight="1"/>
    <row r="8362" ht="42" customHeight="1"/>
    <row r="8363" ht="42" customHeight="1"/>
    <row r="8364" ht="42" customHeight="1"/>
    <row r="8365" ht="42" customHeight="1"/>
    <row r="8366" ht="42" customHeight="1"/>
    <row r="8367" ht="42" customHeight="1"/>
    <row r="8368" ht="42" customHeight="1"/>
    <row r="8369" ht="42" customHeight="1"/>
    <row r="8370" ht="42" customHeight="1"/>
    <row r="8371" ht="42" customHeight="1"/>
    <row r="8372" ht="42" customHeight="1"/>
    <row r="8373" ht="42" customHeight="1"/>
    <row r="8374" ht="42" customHeight="1"/>
    <row r="8375" ht="42" customHeight="1"/>
    <row r="8376" ht="42" customHeight="1"/>
    <row r="8377" ht="42" customHeight="1"/>
    <row r="8378" ht="42" customHeight="1"/>
    <row r="8379" ht="42" customHeight="1"/>
    <row r="8380" ht="42" customHeight="1"/>
    <row r="8381" ht="42" customHeight="1"/>
    <row r="8382" ht="42" customHeight="1"/>
    <row r="8383" ht="42" customHeight="1"/>
    <row r="8384" ht="42" customHeight="1"/>
    <row r="8385" ht="42" customHeight="1"/>
    <row r="8386" ht="42" customHeight="1"/>
    <row r="8387" ht="42" customHeight="1"/>
    <row r="8388" ht="42" customHeight="1"/>
    <row r="8389" ht="42" customHeight="1"/>
    <row r="8390" ht="42" customHeight="1"/>
    <row r="8391" ht="42" customHeight="1"/>
    <row r="8392" ht="42" customHeight="1"/>
    <row r="8393" ht="42" customHeight="1"/>
    <row r="8394" ht="42" customHeight="1"/>
    <row r="8395" ht="42" customHeight="1"/>
    <row r="8396" ht="42" customHeight="1"/>
    <row r="8397" ht="42" customHeight="1"/>
    <row r="8398" ht="42" customHeight="1"/>
    <row r="8399" ht="42" customHeight="1"/>
    <row r="8400" ht="42" customHeight="1"/>
    <row r="8401" ht="42" customHeight="1"/>
    <row r="8402" ht="42" customHeight="1"/>
    <row r="8403" ht="42" customHeight="1"/>
    <row r="8404" ht="42" customHeight="1"/>
    <row r="8405" ht="42" customHeight="1"/>
    <row r="8406" ht="42" customHeight="1"/>
    <row r="8407" ht="42" customHeight="1"/>
    <row r="8408" ht="42" customHeight="1"/>
    <row r="8409" ht="42" customHeight="1"/>
    <row r="8410" ht="42" customHeight="1"/>
    <row r="8411" ht="42" customHeight="1"/>
    <row r="8412" ht="42" customHeight="1"/>
    <row r="8413" ht="42" customHeight="1"/>
    <row r="8414" ht="42" customHeight="1"/>
    <row r="8415" ht="42" customHeight="1"/>
    <row r="8416" ht="42" customHeight="1"/>
    <row r="8417" ht="42" customHeight="1"/>
    <row r="8418" ht="42" customHeight="1"/>
    <row r="8419" ht="42" customHeight="1"/>
    <row r="8420" ht="42" customHeight="1"/>
    <row r="8421" ht="42" customHeight="1"/>
    <row r="8422" ht="42" customHeight="1"/>
    <row r="8423" ht="42" customHeight="1"/>
    <row r="8424" ht="42" customHeight="1"/>
    <row r="8425" ht="42" customHeight="1"/>
    <row r="8426" ht="42" customHeight="1"/>
    <row r="8427" ht="42" customHeight="1"/>
    <row r="8428" ht="42" customHeight="1"/>
    <row r="8429" ht="42" customHeight="1"/>
    <row r="8430" ht="42" customHeight="1"/>
    <row r="8431" ht="42" customHeight="1"/>
    <row r="8432" ht="42" customHeight="1"/>
    <row r="8433" ht="42" customHeight="1"/>
    <row r="8434" ht="42" customHeight="1"/>
    <row r="8435" ht="42" customHeight="1"/>
    <row r="8436" ht="42" customHeight="1"/>
    <row r="8437" ht="42" customHeight="1"/>
    <row r="8438" ht="42" customHeight="1"/>
    <row r="8439" ht="42" customHeight="1"/>
    <row r="8440" ht="42" customHeight="1"/>
    <row r="8441" ht="42" customHeight="1"/>
    <row r="8442" ht="42" customHeight="1"/>
    <row r="8443" ht="42" customHeight="1"/>
    <row r="8444" ht="42" customHeight="1"/>
    <row r="8445" ht="42" customHeight="1"/>
    <row r="8446" ht="42" customHeight="1"/>
    <row r="8447" ht="42" customHeight="1"/>
    <row r="8448" ht="42" customHeight="1"/>
    <row r="8449" ht="42" customHeight="1"/>
    <row r="8450" ht="42" customHeight="1"/>
    <row r="8451" ht="42" customHeight="1"/>
    <row r="8452" ht="42" customHeight="1"/>
    <row r="8453" ht="42" customHeight="1"/>
    <row r="8454" ht="42" customHeight="1"/>
    <row r="8455" ht="42" customHeight="1"/>
    <row r="8456" ht="42" customHeight="1"/>
    <row r="8457" ht="42" customHeight="1"/>
    <row r="8458" ht="42" customHeight="1"/>
    <row r="8459" ht="42" customHeight="1"/>
    <row r="8460" ht="42" customHeight="1"/>
    <row r="8461" ht="42" customHeight="1"/>
    <row r="8462" ht="42" customHeight="1"/>
    <row r="8463" ht="42" customHeight="1"/>
    <row r="8464" ht="42" customHeight="1"/>
    <row r="8465" ht="42" customHeight="1"/>
    <row r="8466" ht="42" customHeight="1"/>
    <row r="8467" ht="42" customHeight="1"/>
    <row r="8468" ht="42" customHeight="1"/>
    <row r="8469" ht="42" customHeight="1"/>
    <row r="8470" ht="42" customHeight="1"/>
    <row r="8471" ht="42" customHeight="1"/>
    <row r="8472" ht="42" customHeight="1"/>
    <row r="8473" ht="42" customHeight="1"/>
    <row r="8474" ht="42" customHeight="1"/>
    <row r="8475" ht="42" customHeight="1"/>
    <row r="8476" ht="42" customHeight="1"/>
    <row r="8477" ht="42" customHeight="1"/>
    <row r="8478" ht="42" customHeight="1"/>
    <row r="8479" ht="42" customHeight="1"/>
    <row r="8480" ht="42" customHeight="1"/>
    <row r="8481" ht="42" customHeight="1"/>
    <row r="8482" ht="42" customHeight="1"/>
    <row r="8483" ht="42" customHeight="1"/>
    <row r="8484" ht="42" customHeight="1"/>
    <row r="8485" ht="42" customHeight="1"/>
    <row r="8486" ht="42" customHeight="1"/>
    <row r="8487" ht="42" customHeight="1"/>
    <row r="8488" ht="42" customHeight="1"/>
    <row r="8489" ht="42" customHeight="1"/>
    <row r="8490" ht="42" customHeight="1"/>
    <row r="8491" ht="42" customHeight="1"/>
    <row r="8492" ht="42" customHeight="1"/>
    <row r="8493" ht="42" customHeight="1"/>
    <row r="8494" ht="42" customHeight="1"/>
    <row r="8495" ht="42" customHeight="1"/>
    <row r="8496" ht="42" customHeight="1"/>
    <row r="8497" ht="42" customHeight="1"/>
    <row r="8498" ht="42" customHeight="1"/>
    <row r="8499" ht="42" customHeight="1"/>
    <row r="8500" ht="42" customHeight="1"/>
    <row r="8501" ht="42" customHeight="1"/>
    <row r="8502" ht="42" customHeight="1"/>
    <row r="8503" ht="42" customHeight="1"/>
    <row r="8504" ht="42" customHeight="1"/>
    <row r="8505" ht="42" customHeight="1"/>
    <row r="8506" ht="42" customHeight="1"/>
    <row r="8507" ht="42" customHeight="1"/>
    <row r="8508" ht="42" customHeight="1"/>
    <row r="8509" ht="42" customHeight="1"/>
    <row r="8510" ht="42" customHeight="1"/>
    <row r="8511" ht="42" customHeight="1"/>
    <row r="8512" ht="42" customHeight="1"/>
    <row r="8513" ht="42" customHeight="1"/>
    <row r="8514" ht="42" customHeight="1"/>
    <row r="8515" ht="42" customHeight="1"/>
    <row r="8516" ht="42" customHeight="1"/>
    <row r="8517" ht="42" customHeight="1"/>
    <row r="8518" ht="42" customHeight="1"/>
    <row r="8519" ht="42" customHeight="1"/>
    <row r="8520" ht="42" customHeight="1"/>
    <row r="8521" ht="42" customHeight="1"/>
    <row r="8522" ht="42" customHeight="1"/>
    <row r="8523" ht="42" customHeight="1"/>
    <row r="8524" ht="42" customHeight="1"/>
    <row r="8525" ht="42" customHeight="1"/>
    <row r="8526" ht="42" customHeight="1"/>
    <row r="8527" ht="42" customHeight="1"/>
    <row r="8528" ht="42" customHeight="1"/>
    <row r="8529" ht="42" customHeight="1"/>
    <row r="8530" ht="42" customHeight="1"/>
    <row r="8531" ht="42" customHeight="1"/>
    <row r="8532" ht="42" customHeight="1"/>
    <row r="8533" ht="42" customHeight="1"/>
    <row r="8534" ht="42" customHeight="1"/>
    <row r="8535" ht="42" customHeight="1"/>
    <row r="8536" ht="42" customHeight="1"/>
    <row r="8537" ht="42" customHeight="1"/>
    <row r="8538" ht="42" customHeight="1"/>
    <row r="8539" ht="42" customHeight="1"/>
    <row r="8540" ht="42" customHeight="1"/>
    <row r="8541" ht="42" customHeight="1"/>
    <row r="8542" ht="42" customHeight="1"/>
    <row r="8543" ht="42" customHeight="1"/>
    <row r="8544" ht="42" customHeight="1"/>
    <row r="8545" ht="42" customHeight="1"/>
    <row r="8546" ht="42" customHeight="1"/>
    <row r="8547" ht="42" customHeight="1"/>
    <row r="8548" ht="42" customHeight="1"/>
    <row r="8549" ht="42" customHeight="1"/>
    <row r="8550" ht="42" customHeight="1"/>
    <row r="8551" ht="42" customHeight="1"/>
    <row r="8552" ht="42" customHeight="1"/>
    <row r="8553" ht="42" customHeight="1"/>
    <row r="8554" ht="42" customHeight="1"/>
    <row r="8555" ht="42" customHeight="1"/>
    <row r="8556" ht="42" customHeight="1"/>
    <row r="8557" ht="42" customHeight="1"/>
    <row r="8558" ht="42" customHeight="1"/>
    <row r="8559" ht="42" customHeight="1"/>
    <row r="8560" ht="42" customHeight="1"/>
    <row r="8561" ht="42" customHeight="1"/>
    <row r="8562" ht="42" customHeight="1"/>
    <row r="8563" ht="42" customHeight="1"/>
    <row r="8564" ht="42" customHeight="1"/>
    <row r="8565" ht="42" customHeight="1"/>
    <row r="8566" ht="42" customHeight="1"/>
    <row r="8567" ht="42" customHeight="1"/>
    <row r="8568" ht="42" customHeight="1"/>
    <row r="8569" ht="42" customHeight="1"/>
    <row r="8570" ht="42" customHeight="1"/>
    <row r="8571" ht="42" customHeight="1"/>
    <row r="8572" ht="42" customHeight="1"/>
    <row r="8573" ht="42" customHeight="1"/>
    <row r="8574" ht="42" customHeight="1"/>
    <row r="8575" ht="42" customHeight="1"/>
    <row r="8576" ht="42" customHeight="1"/>
    <row r="8577" ht="42" customHeight="1"/>
    <row r="8578" ht="42" customHeight="1"/>
    <row r="8579" ht="42" customHeight="1"/>
    <row r="8580" ht="42" customHeight="1"/>
    <row r="8581" ht="42" customHeight="1"/>
    <row r="8582" ht="42" customHeight="1"/>
    <row r="8583" ht="42" customHeight="1"/>
    <row r="8584" ht="42" customHeight="1"/>
    <row r="8585" ht="42" customHeight="1"/>
    <row r="8586" ht="42" customHeight="1"/>
    <row r="8587" ht="42" customHeight="1"/>
    <row r="8588" ht="42" customHeight="1"/>
    <row r="8589" ht="42" customHeight="1"/>
    <row r="8590" ht="42" customHeight="1"/>
    <row r="8591" ht="42" customHeight="1"/>
    <row r="8592" ht="42" customHeight="1"/>
    <row r="8593" ht="42" customHeight="1"/>
    <row r="8594" ht="42" customHeight="1"/>
    <row r="8595" ht="42" customHeight="1"/>
    <row r="8596" ht="42" customHeight="1"/>
    <row r="8597" ht="42" customHeight="1"/>
    <row r="8598" ht="42" customHeight="1"/>
    <row r="8599" ht="42" customHeight="1"/>
    <row r="8600" ht="42" customHeight="1"/>
    <row r="8601" ht="42" customHeight="1"/>
    <row r="8602" ht="42" customHeight="1"/>
    <row r="8603" ht="42" customHeight="1"/>
    <row r="8604" ht="42" customHeight="1"/>
    <row r="8605" ht="42" customHeight="1"/>
    <row r="8606" ht="42" customHeight="1"/>
    <row r="8607" ht="42" customHeight="1"/>
    <row r="8608" ht="42" customHeight="1"/>
    <row r="8609" ht="42" customHeight="1"/>
    <row r="8610" ht="42" customHeight="1"/>
    <row r="8611" ht="42" customHeight="1"/>
    <row r="8612" ht="42" customHeight="1"/>
    <row r="8613" ht="42" customHeight="1"/>
    <row r="8614" ht="42" customHeight="1"/>
    <row r="8615" ht="42" customHeight="1"/>
    <row r="8616" ht="42" customHeight="1"/>
    <row r="8617" ht="42" customHeight="1"/>
    <row r="8618" ht="42" customHeight="1"/>
    <row r="8619" ht="42" customHeight="1"/>
    <row r="8620" ht="42" customHeight="1"/>
    <row r="8621" ht="42" customHeight="1"/>
    <row r="8622" ht="42" customHeight="1"/>
    <row r="8623" ht="42" customHeight="1"/>
    <row r="8624" ht="42" customHeight="1"/>
    <row r="8625" ht="42" customHeight="1"/>
    <row r="8626" ht="42" customHeight="1"/>
    <row r="8627" ht="42" customHeight="1"/>
    <row r="8628" ht="42" customHeight="1"/>
    <row r="8629" ht="42" customHeight="1"/>
    <row r="8630" ht="42" customHeight="1"/>
    <row r="8631" ht="42" customHeight="1"/>
    <row r="8632" ht="42" customHeight="1"/>
    <row r="8633" ht="42" customHeight="1"/>
    <row r="8634" ht="42" customHeight="1"/>
    <row r="8635" ht="42" customHeight="1"/>
    <row r="8636" ht="42" customHeight="1"/>
    <row r="8637" ht="42" customHeight="1"/>
    <row r="8638" ht="42" customHeight="1"/>
    <row r="8639" ht="42" customHeight="1"/>
    <row r="8640" ht="42" customHeight="1"/>
    <row r="8641" ht="42" customHeight="1"/>
    <row r="8642" ht="42" customHeight="1"/>
    <row r="8643" ht="42" customHeight="1"/>
    <row r="8644" ht="42" customHeight="1"/>
    <row r="8645" ht="42" customHeight="1"/>
    <row r="8646" ht="42" customHeight="1"/>
    <row r="8647" ht="42" customHeight="1"/>
    <row r="8648" ht="42" customHeight="1"/>
    <row r="8649" ht="42" customHeight="1"/>
    <row r="8650" ht="42" customHeight="1"/>
    <row r="8651" ht="42" customHeight="1"/>
    <row r="8652" ht="42" customHeight="1"/>
    <row r="8653" ht="42" customHeight="1"/>
    <row r="8654" ht="42" customHeight="1"/>
    <row r="8655" ht="42" customHeight="1"/>
    <row r="8656" ht="42" customHeight="1"/>
    <row r="8657" ht="42" customHeight="1"/>
    <row r="8658" ht="42" customHeight="1"/>
    <row r="8659" ht="42" customHeight="1"/>
    <row r="8660" ht="42" customHeight="1"/>
    <row r="8661" ht="42" customHeight="1"/>
    <row r="8662" ht="42" customHeight="1"/>
    <row r="8663" ht="42" customHeight="1"/>
    <row r="8664" ht="42" customHeight="1"/>
    <row r="8665" ht="42" customHeight="1"/>
    <row r="8666" ht="42" customHeight="1"/>
    <row r="8667" ht="42" customHeight="1"/>
    <row r="8668" ht="42" customHeight="1"/>
    <row r="8669" ht="42" customHeight="1"/>
    <row r="8670" ht="42" customHeight="1"/>
    <row r="8671" ht="42" customHeight="1"/>
    <row r="8672" ht="42" customHeight="1"/>
    <row r="8673" ht="42" customHeight="1"/>
    <row r="8674" ht="42" customHeight="1"/>
    <row r="8675" ht="42" customHeight="1"/>
    <row r="8676" ht="42" customHeight="1"/>
    <row r="8677" ht="42" customHeight="1"/>
    <row r="8678" ht="42" customHeight="1"/>
    <row r="8679" ht="42" customHeight="1"/>
    <row r="8680" ht="42" customHeight="1"/>
    <row r="8681" ht="42" customHeight="1"/>
    <row r="8682" ht="42" customHeight="1"/>
    <row r="8683" ht="42" customHeight="1"/>
    <row r="8684" ht="42" customHeight="1"/>
    <row r="8685" ht="42" customHeight="1"/>
    <row r="8686" ht="42" customHeight="1"/>
    <row r="8687" ht="42" customHeight="1"/>
    <row r="8688" ht="42" customHeight="1"/>
    <row r="8689" ht="42" customHeight="1"/>
    <row r="8690" ht="42" customHeight="1"/>
    <row r="8691" ht="42" customHeight="1"/>
    <row r="8692" ht="42" customHeight="1"/>
    <row r="8693" ht="42" customHeight="1"/>
    <row r="8694" ht="42" customHeight="1"/>
    <row r="8695" ht="42" customHeight="1"/>
    <row r="8696" ht="42" customHeight="1"/>
    <row r="8697" ht="42" customHeight="1"/>
    <row r="8698" ht="42" customHeight="1"/>
    <row r="8699" ht="42" customHeight="1"/>
    <row r="8700" ht="42" customHeight="1"/>
    <row r="8701" ht="42" customHeight="1"/>
    <row r="8702" ht="42" customHeight="1"/>
    <row r="8703" ht="42" customHeight="1"/>
    <row r="8704" ht="42" customHeight="1"/>
    <row r="8705" ht="42" customHeight="1"/>
    <row r="8706" ht="42" customHeight="1"/>
    <row r="8707" ht="42" customHeight="1"/>
    <row r="8708" ht="42" customHeight="1"/>
    <row r="8709" ht="42" customHeight="1"/>
    <row r="8710" ht="42" customHeight="1"/>
    <row r="8711" ht="42" customHeight="1"/>
    <row r="8712" ht="42" customHeight="1"/>
    <row r="8713" ht="42" customHeight="1"/>
    <row r="8714" ht="42" customHeight="1"/>
    <row r="8715" ht="42" customHeight="1"/>
    <row r="8716" ht="42" customHeight="1"/>
    <row r="8717" ht="42" customHeight="1"/>
    <row r="8718" ht="42" customHeight="1"/>
    <row r="8719" ht="42" customHeight="1"/>
    <row r="8720" ht="42" customHeight="1"/>
    <row r="8721" ht="42" customHeight="1"/>
    <row r="8722" ht="42" customHeight="1"/>
    <row r="8723" ht="42" customHeight="1"/>
    <row r="8724" ht="42" customHeight="1"/>
    <row r="8725" ht="42" customHeight="1"/>
    <row r="8726" ht="42" customHeight="1"/>
    <row r="8727" ht="42" customHeight="1"/>
    <row r="8728" ht="42" customHeight="1"/>
    <row r="8729" ht="42" customHeight="1"/>
    <row r="8730" ht="42" customHeight="1"/>
    <row r="8731" ht="42" customHeight="1"/>
    <row r="8732" ht="42" customHeight="1"/>
    <row r="8733" ht="42" customHeight="1"/>
    <row r="8734" ht="42" customHeight="1"/>
    <row r="8735" ht="42" customHeight="1"/>
    <row r="8736" ht="42" customHeight="1"/>
    <row r="8737" ht="42" customHeight="1"/>
    <row r="8738" ht="42" customHeight="1"/>
    <row r="8739" ht="42" customHeight="1"/>
    <row r="8740" ht="42" customHeight="1"/>
    <row r="8741" ht="42" customHeight="1"/>
    <row r="8742" ht="42" customHeight="1"/>
    <row r="8743" ht="42" customHeight="1"/>
    <row r="8744" ht="42" customHeight="1"/>
    <row r="8745" ht="42" customHeight="1"/>
    <row r="8746" ht="42" customHeight="1"/>
    <row r="8747" ht="42" customHeight="1"/>
    <row r="8748" ht="42" customHeight="1"/>
    <row r="8749" ht="42" customHeight="1"/>
    <row r="8750" ht="42" customHeight="1"/>
    <row r="8751" ht="42" customHeight="1"/>
    <row r="8752" ht="42" customHeight="1"/>
    <row r="8753" ht="42" customHeight="1"/>
    <row r="8754" ht="42" customHeight="1"/>
    <row r="8755" ht="42" customHeight="1"/>
    <row r="8756" ht="42" customHeight="1"/>
    <row r="8757" ht="42" customHeight="1"/>
    <row r="8758" ht="42" customHeight="1"/>
    <row r="8759" ht="42" customHeight="1"/>
    <row r="8760" ht="42" customHeight="1"/>
    <row r="8761" ht="42" customHeight="1"/>
    <row r="8762" ht="42" customHeight="1"/>
    <row r="8763" ht="42" customHeight="1"/>
    <row r="8764" ht="42" customHeight="1"/>
    <row r="8765" ht="42" customHeight="1"/>
    <row r="8766" ht="42" customHeight="1"/>
    <row r="8767" ht="42" customHeight="1"/>
    <row r="8768" ht="42" customHeight="1"/>
    <row r="8769" ht="42" customHeight="1"/>
    <row r="8770" ht="42" customHeight="1"/>
    <row r="8771" ht="42" customHeight="1"/>
    <row r="8772" ht="42" customHeight="1"/>
    <row r="8773" ht="42" customHeight="1"/>
    <row r="8774" ht="42" customHeight="1"/>
    <row r="8775" ht="42" customHeight="1"/>
    <row r="8776" ht="42" customHeight="1"/>
    <row r="8777" ht="42" customHeight="1"/>
    <row r="8778" ht="42" customHeight="1"/>
    <row r="8779" ht="42" customHeight="1"/>
    <row r="8780" ht="42" customHeight="1"/>
    <row r="8781" ht="42" customHeight="1"/>
    <row r="8782" ht="42" customHeight="1"/>
    <row r="8783" ht="42" customHeight="1"/>
    <row r="8784" ht="42" customHeight="1"/>
    <row r="8785" ht="42" customHeight="1"/>
    <row r="8786" ht="42" customHeight="1"/>
    <row r="8787" ht="42" customHeight="1"/>
    <row r="8788" ht="42" customHeight="1"/>
    <row r="8789" ht="42" customHeight="1"/>
    <row r="8790" ht="42" customHeight="1"/>
    <row r="8791" ht="42" customHeight="1"/>
    <row r="8792" ht="42" customHeight="1"/>
    <row r="8793" ht="42" customHeight="1"/>
    <row r="8794" ht="42" customHeight="1"/>
    <row r="8795" ht="42" customHeight="1"/>
    <row r="8796" ht="42" customHeight="1"/>
    <row r="8797" ht="42" customHeight="1"/>
    <row r="8798" ht="42" customHeight="1"/>
    <row r="8799" ht="42" customHeight="1"/>
    <row r="8800" ht="42" customHeight="1"/>
    <row r="8801" ht="42" customHeight="1"/>
    <row r="8802" ht="42" customHeight="1"/>
    <row r="8803" ht="42" customHeight="1"/>
    <row r="8804" ht="42" customHeight="1"/>
    <row r="8805" ht="42" customHeight="1"/>
    <row r="8806" ht="42" customHeight="1"/>
    <row r="8807" ht="42" customHeight="1"/>
    <row r="8808" ht="42" customHeight="1"/>
    <row r="8809" ht="42" customHeight="1"/>
    <row r="8810" ht="42" customHeight="1"/>
    <row r="8811" ht="42" customHeight="1"/>
    <row r="8812" ht="42" customHeight="1"/>
    <row r="8813" ht="42" customHeight="1"/>
    <row r="8814" ht="42" customHeight="1"/>
    <row r="8815" ht="42" customHeight="1"/>
    <row r="8816" ht="42" customHeight="1"/>
    <row r="8817" ht="42" customHeight="1"/>
    <row r="8818" ht="42" customHeight="1"/>
    <row r="8819" ht="42" customHeight="1"/>
    <row r="8820" ht="42" customHeight="1"/>
    <row r="8821" ht="42" customHeight="1"/>
    <row r="8822" ht="42" customHeight="1"/>
    <row r="8823" ht="42" customHeight="1"/>
    <row r="8824" ht="42" customHeight="1"/>
    <row r="8825" ht="42" customHeight="1"/>
    <row r="8826" ht="42" customHeight="1"/>
    <row r="8827" ht="42" customHeight="1"/>
    <row r="8828" ht="42" customHeight="1"/>
    <row r="8829" ht="42" customHeight="1"/>
    <row r="8830" ht="42" customHeight="1"/>
    <row r="8831" ht="42" customHeight="1"/>
    <row r="8832" ht="42" customHeight="1"/>
    <row r="8833" ht="42" customHeight="1"/>
    <row r="8834" ht="42" customHeight="1"/>
    <row r="8835" ht="42" customHeight="1"/>
    <row r="8836" ht="42" customHeight="1"/>
    <row r="8837" ht="42" customHeight="1"/>
    <row r="8838" ht="42" customHeight="1"/>
    <row r="8839" ht="42" customHeight="1"/>
    <row r="8840" ht="42" customHeight="1"/>
    <row r="8841" ht="42" customHeight="1"/>
    <row r="8842" ht="42" customHeight="1"/>
    <row r="8843" ht="42" customHeight="1"/>
    <row r="8844" ht="42" customHeight="1"/>
    <row r="8845" ht="42" customHeight="1"/>
    <row r="8846" ht="42" customHeight="1"/>
  </sheetData>
  <mergeCells count="4">
    <mergeCell ref="A1:K1"/>
    <mergeCell ref="A2:K2"/>
    <mergeCell ref="A3:K3"/>
    <mergeCell ref="A4:K4"/>
  </mergeCells>
  <conditionalFormatting sqref="K7:K4028">
    <cfRule type="containsText" dxfId="0" priority="1" operator="containsText" text="Revisar"/>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B9BD5"/>
  </sheetPr>
  <dimension ref="A1:F504"/>
  <sheetViews>
    <sheetView showGridLines="0" workbookViewId="0">
      <pane ySplit="4" topLeftCell="A5" activePane="bottomLeft" state="frozen"/>
      <selection pane="bottomLeft"/>
    </sheetView>
  </sheetViews>
  <sheetFormatPr baseColWidth="10" defaultColWidth="8.796875" defaultRowHeight="13.8"/>
  <cols>
    <col min="1" max="1" width="22" customWidth="1"/>
    <col min="2" max="2" width="38" customWidth="1"/>
    <col min="3" max="3" width="28" customWidth="1"/>
    <col min="4" max="4" width="13" customWidth="1"/>
    <col min="5" max="5" width="20" customWidth="1"/>
    <col min="6" max="6" width="18" customWidth="1"/>
  </cols>
  <sheetData>
    <row r="1" spans="1:6" ht="30" customHeight="1">
      <c r="A1" s="8" t="s">
        <v>9962</v>
      </c>
      <c r="B1" s="8"/>
      <c r="C1" s="8"/>
      <c r="D1" s="8"/>
      <c r="E1" s="8"/>
      <c r="F1" s="8"/>
    </row>
    <row r="2" spans="1:6" ht="22.05" customHeight="1">
      <c r="A2" s="12" t="s">
        <v>9963</v>
      </c>
      <c r="B2" s="12"/>
      <c r="C2" s="12"/>
      <c r="D2" s="12"/>
      <c r="E2" s="12"/>
      <c r="F2" s="12"/>
    </row>
    <row r="4" spans="1:6" ht="30" customHeight="1">
      <c r="A4" s="1" t="s">
        <v>8</v>
      </c>
      <c r="B4" s="1" t="s">
        <v>9</v>
      </c>
      <c r="C4" s="1" t="s">
        <v>9964</v>
      </c>
      <c r="D4" s="1" t="s">
        <v>9965</v>
      </c>
      <c r="E4" s="1" t="s">
        <v>9966</v>
      </c>
      <c r="F4" s="1" t="s">
        <v>9967</v>
      </c>
    </row>
    <row r="5" spans="1:6" ht="31.05" customHeight="1">
      <c r="A5" s="6">
        <v>-29582</v>
      </c>
      <c r="B5" s="2" t="s">
        <v>376</v>
      </c>
      <c r="C5" s="2" t="s">
        <v>9968</v>
      </c>
      <c r="D5" s="3">
        <v>8</v>
      </c>
      <c r="E5" s="3">
        <v>38</v>
      </c>
      <c r="F5" s="3" t="str">
        <f>HYPERLINK("https://www.boe.es/gazeta/dias/1819/01/02/pdfs/GMD-1819-1.pdf","Abrir PDF")</f>
        <v>Abrir PDF</v>
      </c>
    </row>
    <row r="6" spans="1:6" ht="31.05" customHeight="1">
      <c r="A6" s="6">
        <v>-29579</v>
      </c>
      <c r="B6" s="2" t="s">
        <v>186</v>
      </c>
      <c r="C6" s="2" t="s">
        <v>9969</v>
      </c>
      <c r="D6" s="3">
        <v>8</v>
      </c>
      <c r="E6" s="3">
        <v>27</v>
      </c>
      <c r="F6" s="3" t="str">
        <f>HYPERLINK("https://www.boe.es/gazeta/dias/1819/01/05/pdfs/GMD-1819-2.pdf","Abrir PDF")</f>
        <v>Abrir PDF</v>
      </c>
    </row>
    <row r="7" spans="1:6" ht="31.05" customHeight="1">
      <c r="A7" s="6">
        <v>-29577</v>
      </c>
      <c r="B7" s="2" t="s">
        <v>1008</v>
      </c>
      <c r="C7" s="2" t="s">
        <v>9970</v>
      </c>
      <c r="D7" s="3">
        <v>8</v>
      </c>
      <c r="E7" s="3">
        <v>22</v>
      </c>
      <c r="F7" s="3" t="str">
        <f>HYPERLINK("https://www.boe.es/gazeta/dias/1819/01/07/pdfs/GMD-1819-3.pdf","Abrir PDF")</f>
        <v>Abrir PDF</v>
      </c>
    </row>
    <row r="8" spans="1:6" ht="31.05" customHeight="1">
      <c r="A8" s="6">
        <v>-29575</v>
      </c>
      <c r="B8" s="2" t="s">
        <v>77</v>
      </c>
      <c r="C8" s="2" t="s">
        <v>9971</v>
      </c>
      <c r="D8" s="3">
        <v>8</v>
      </c>
      <c r="E8" s="3">
        <v>55</v>
      </c>
      <c r="F8" s="3" t="str">
        <f>HYPERLINK("https://www.boe.es/gazeta/dias/1819/01/09/pdfs/GMD-1819-4.pdf","Abrir PDF")</f>
        <v>Abrir PDF</v>
      </c>
    </row>
    <row r="9" spans="1:6" ht="31.05" customHeight="1">
      <c r="A9" s="6">
        <v>-29572</v>
      </c>
      <c r="B9" s="2" t="s">
        <v>589</v>
      </c>
      <c r="C9" s="2" t="s">
        <v>9972</v>
      </c>
      <c r="D9" s="3">
        <v>8</v>
      </c>
      <c r="E9" s="3">
        <v>33</v>
      </c>
      <c r="F9" s="3" t="str">
        <f>HYPERLINK("https://www.boe.es/gazeta/dias/1819/01/12/pdfs/GMD-1819-5.pdf","Abrir PDF")</f>
        <v>Abrir PDF</v>
      </c>
    </row>
    <row r="10" spans="1:6" ht="31.05" customHeight="1">
      <c r="A10" s="6">
        <v>-29570</v>
      </c>
      <c r="B10" s="2" t="s">
        <v>2008</v>
      </c>
      <c r="C10" s="2" t="s">
        <v>9973</v>
      </c>
      <c r="D10" s="3">
        <v>8</v>
      </c>
      <c r="E10" s="3">
        <v>16</v>
      </c>
      <c r="F10" s="3" t="str">
        <f>HYPERLINK("https://www.boe.es/gazeta/dias/1819/01/14/pdfs/GMD-1819-6.pdf","Abrir PDF")</f>
        <v>Abrir PDF</v>
      </c>
    </row>
    <row r="11" spans="1:6" ht="31.05" customHeight="1">
      <c r="A11" s="6">
        <v>-29568</v>
      </c>
      <c r="B11" s="2" t="s">
        <v>966</v>
      </c>
      <c r="C11" s="2" t="s">
        <v>9974</v>
      </c>
      <c r="D11" s="3">
        <v>8</v>
      </c>
      <c r="E11" s="3">
        <v>10</v>
      </c>
      <c r="F11" s="3" t="str">
        <f>HYPERLINK("https://www.boe.es/gazeta/dias/1819/01/16/pdfs/GMD-1819-7.pdf","Abrir PDF")</f>
        <v>Abrir PDF</v>
      </c>
    </row>
    <row r="12" spans="1:6" ht="31.05" customHeight="1">
      <c r="A12" s="6">
        <v>-29565</v>
      </c>
      <c r="B12" s="2" t="s">
        <v>293</v>
      </c>
      <c r="C12" s="2" t="s">
        <v>9975</v>
      </c>
      <c r="D12" s="3">
        <v>8</v>
      </c>
      <c r="E12" s="3">
        <v>14</v>
      </c>
      <c r="F12" s="3" t="str">
        <f>HYPERLINK("https://www.boe.es/gazeta/dias/1819/01/19/pdfs/GMD-1819-8.pdf","Abrir PDF")</f>
        <v>Abrir PDF</v>
      </c>
    </row>
    <row r="13" spans="1:6" ht="31.05" customHeight="1">
      <c r="A13" s="6">
        <v>-29563</v>
      </c>
      <c r="B13" s="2" t="s">
        <v>1087</v>
      </c>
      <c r="C13" s="2" t="s">
        <v>9976</v>
      </c>
      <c r="D13" s="3">
        <v>8</v>
      </c>
      <c r="E13" s="3">
        <v>13</v>
      </c>
      <c r="F13" s="3" t="str">
        <f>HYPERLINK("https://www.boe.es/gazeta/dias/1819/01/21/pdfs/GMD-1819-9.pdf","Abrir PDF")</f>
        <v>Abrir PDF</v>
      </c>
    </row>
    <row r="14" spans="1:6" ht="31.05" customHeight="1">
      <c r="A14" s="6">
        <v>-29561</v>
      </c>
      <c r="B14" s="2" t="s">
        <v>290</v>
      </c>
      <c r="C14" s="2" t="s">
        <v>9977</v>
      </c>
      <c r="D14" s="3">
        <v>8</v>
      </c>
      <c r="E14" s="3">
        <v>12</v>
      </c>
      <c r="F14" s="3" t="str">
        <f>HYPERLINK("https://www.boe.es/gazeta/dias/1819/01/23/pdfs/GMD-1819-10.pdf","Abrir PDF")</f>
        <v>Abrir PDF</v>
      </c>
    </row>
    <row r="15" spans="1:6" ht="31.05" customHeight="1">
      <c r="A15" s="6">
        <v>-29558</v>
      </c>
      <c r="B15" s="2" t="s">
        <v>1463</v>
      </c>
      <c r="C15" s="2" t="s">
        <v>9978</v>
      </c>
      <c r="D15" s="3">
        <v>8</v>
      </c>
      <c r="E15" s="3">
        <v>21</v>
      </c>
      <c r="F15" s="3" t="str">
        <f>HYPERLINK("https://www.boe.es/gazeta/dias/1819/01/26/pdfs/GMD-1819-11.pdf","Abrir PDF")</f>
        <v>Abrir PDF</v>
      </c>
    </row>
    <row r="16" spans="1:6" ht="31.05" customHeight="1">
      <c r="A16" s="6">
        <v>-29556</v>
      </c>
      <c r="B16" s="2" t="s">
        <v>255</v>
      </c>
      <c r="C16" s="2" t="s">
        <v>9979</v>
      </c>
      <c r="D16" s="3">
        <v>8</v>
      </c>
      <c r="E16" s="3">
        <v>19</v>
      </c>
      <c r="F16" s="3" t="str">
        <f>HYPERLINK("https://www.boe.es/gazeta/dias/1819/01/28/pdfs/GMD-1819-12.pdf","Abrir PDF")</f>
        <v>Abrir PDF</v>
      </c>
    </row>
    <row r="17" spans="1:6" ht="31.05" customHeight="1">
      <c r="A17" s="6">
        <v>-29554</v>
      </c>
      <c r="B17" s="2" t="s">
        <v>150</v>
      </c>
      <c r="C17" s="2" t="s">
        <v>9980</v>
      </c>
      <c r="D17" s="3">
        <v>8</v>
      </c>
      <c r="E17" s="3">
        <v>13</v>
      </c>
      <c r="F17" s="3" t="str">
        <f>HYPERLINK("https://www.boe.es/gazeta/dias/1819/01/30/pdfs/GMD-1819-13.pdf","Abrir PDF")</f>
        <v>Abrir PDF</v>
      </c>
    </row>
    <row r="18" spans="1:6" ht="31.05" customHeight="1">
      <c r="A18" s="6">
        <v>-29551</v>
      </c>
      <c r="B18" s="2" t="s">
        <v>2173</v>
      </c>
      <c r="C18" s="2" t="s">
        <v>9981</v>
      </c>
      <c r="D18" s="3">
        <v>8</v>
      </c>
      <c r="E18" s="3">
        <v>10</v>
      </c>
      <c r="F18" s="3" t="str">
        <f>HYPERLINK("https://www.boe.es/gazeta/dias/1819/02/02/pdfs/GMD-1819-14.pdf","Abrir PDF")</f>
        <v>Abrir PDF</v>
      </c>
    </row>
    <row r="19" spans="1:6" ht="31.05" customHeight="1">
      <c r="A19" s="6">
        <v>-29549</v>
      </c>
      <c r="B19" s="2" t="s">
        <v>124</v>
      </c>
      <c r="C19" s="2" t="s">
        <v>9982</v>
      </c>
      <c r="D19" s="3">
        <v>8</v>
      </c>
      <c r="E19" s="3">
        <v>18</v>
      </c>
      <c r="F19" s="3" t="str">
        <f>HYPERLINK("https://www.boe.es/gazeta/dias/1819/02/04/pdfs/GMD-1819-15.pdf","Abrir PDF")</f>
        <v>Abrir PDF</v>
      </c>
    </row>
    <row r="20" spans="1:6" ht="31.05" customHeight="1">
      <c r="A20" s="6">
        <v>-29547</v>
      </c>
      <c r="B20" s="2" t="s">
        <v>238</v>
      </c>
      <c r="C20" s="2" t="s">
        <v>9983</v>
      </c>
      <c r="D20" s="3">
        <v>8</v>
      </c>
      <c r="E20" s="3">
        <v>18</v>
      </c>
      <c r="F20" s="3" t="str">
        <f>HYPERLINK("https://www.boe.es/gazeta/dias/1819/02/06/pdfs/GMD-1819-16.pdf","Abrir PDF")</f>
        <v>Abrir PDF</v>
      </c>
    </row>
    <row r="21" spans="1:6" ht="31.05" customHeight="1">
      <c r="A21" s="6">
        <v>-29544</v>
      </c>
      <c r="B21" s="2" t="s">
        <v>531</v>
      </c>
      <c r="C21" s="2" t="s">
        <v>9984</v>
      </c>
      <c r="D21" s="3">
        <v>8</v>
      </c>
      <c r="E21" s="3">
        <v>17</v>
      </c>
      <c r="F21" s="3" t="str">
        <f>HYPERLINK("https://www.boe.es/gazeta/dias/1819/02/09/pdfs/GMD-1819-17.pdf","Abrir PDF")</f>
        <v>Abrir PDF</v>
      </c>
    </row>
    <row r="22" spans="1:6" ht="31.05" customHeight="1">
      <c r="A22" s="6">
        <v>-29542</v>
      </c>
      <c r="B22" s="2" t="s">
        <v>607</v>
      </c>
      <c r="C22" s="2" t="s">
        <v>9985</v>
      </c>
      <c r="D22" s="3">
        <v>12</v>
      </c>
      <c r="E22" s="3">
        <v>24</v>
      </c>
      <c r="F22" s="3" t="str">
        <f>HYPERLINK("https://www.boe.es/gazeta/dias/1819/02/11/pdfs/GMD-1819-18.pdf","Abrir PDF")</f>
        <v>Abrir PDF</v>
      </c>
    </row>
    <row r="23" spans="1:6" ht="31.05" customHeight="1">
      <c r="A23" s="6">
        <v>-29540</v>
      </c>
      <c r="B23" s="2" t="s">
        <v>154</v>
      </c>
      <c r="C23" s="2" t="s">
        <v>9986</v>
      </c>
      <c r="D23" s="3">
        <v>8</v>
      </c>
      <c r="E23" s="3">
        <v>21</v>
      </c>
      <c r="F23" s="3" t="str">
        <f>HYPERLINK("https://www.boe.es/gazeta/dias/1819/02/13/pdfs/GMD-1819-19.pdf","Abrir PDF")</f>
        <v>Abrir PDF</v>
      </c>
    </row>
    <row r="24" spans="1:6" ht="31.05" customHeight="1">
      <c r="A24" s="6">
        <v>-29537</v>
      </c>
      <c r="B24" s="2" t="s">
        <v>593</v>
      </c>
      <c r="C24" s="2" t="s">
        <v>9987</v>
      </c>
      <c r="D24" s="3">
        <v>12</v>
      </c>
      <c r="E24" s="3">
        <v>54</v>
      </c>
      <c r="F24" s="3" t="str">
        <f>HYPERLINK("https://www.boe.es/gazeta/dias/1819/02/16/pdfs/GMD-1819-20.pdf","Abrir PDF")</f>
        <v>Abrir PDF</v>
      </c>
    </row>
    <row r="25" spans="1:6" ht="31.05" customHeight="1">
      <c r="A25" s="6">
        <v>-29535</v>
      </c>
      <c r="B25" s="2" t="s">
        <v>200</v>
      </c>
      <c r="C25" s="2" t="s">
        <v>9988</v>
      </c>
      <c r="D25" s="3">
        <v>8</v>
      </c>
      <c r="E25" s="3">
        <v>34</v>
      </c>
      <c r="F25" s="3" t="str">
        <f>HYPERLINK("https://www.boe.es/gazeta/dias/1819/02/18/pdfs/GMD-1819-21.pdf","Abrir PDF")</f>
        <v>Abrir PDF</v>
      </c>
    </row>
    <row r="26" spans="1:6" ht="31.05" customHeight="1">
      <c r="A26" s="6">
        <v>-29533</v>
      </c>
      <c r="B26" s="2" t="s">
        <v>280</v>
      </c>
      <c r="C26" s="2" t="s">
        <v>9989</v>
      </c>
      <c r="D26" s="3">
        <v>8</v>
      </c>
      <c r="E26" s="3">
        <v>28</v>
      </c>
      <c r="F26" s="3" t="str">
        <f>HYPERLINK("https://www.boe.es/gazeta/dias/1819/02/20/pdfs/GMD-1819-22.pdf","Abrir PDF")</f>
        <v>Abrir PDF</v>
      </c>
    </row>
    <row r="27" spans="1:6" ht="31.05" customHeight="1">
      <c r="A27" s="6">
        <v>-29530</v>
      </c>
      <c r="B27" s="2" t="s">
        <v>202</v>
      </c>
      <c r="C27" s="2" t="s">
        <v>9990</v>
      </c>
      <c r="D27" s="3">
        <v>12</v>
      </c>
      <c r="E27" s="3">
        <v>46</v>
      </c>
      <c r="F27" s="3" t="str">
        <f>HYPERLINK("https://www.boe.es/gazeta/dias/1819/02/23/pdfs/GMD-1819-23.pdf","Abrir PDF")</f>
        <v>Abrir PDF</v>
      </c>
    </row>
    <row r="28" spans="1:6" ht="31.05" customHeight="1">
      <c r="A28" s="6">
        <v>-29528</v>
      </c>
      <c r="B28" s="2" t="s">
        <v>708</v>
      </c>
      <c r="C28" s="2" t="s">
        <v>9991</v>
      </c>
      <c r="D28" s="3">
        <v>8</v>
      </c>
      <c r="E28" s="3">
        <v>18</v>
      </c>
      <c r="F28" s="3" t="str">
        <f>HYPERLINK("https://www.boe.es/gazeta/dias/1819/02/25/pdfs/GMD-1819-24.pdf","Abrir PDF")</f>
        <v>Abrir PDF</v>
      </c>
    </row>
    <row r="29" spans="1:6" ht="31.05" customHeight="1">
      <c r="A29" s="6">
        <v>-29526</v>
      </c>
      <c r="B29" s="2" t="s">
        <v>307</v>
      </c>
      <c r="C29" s="2" t="s">
        <v>9992</v>
      </c>
      <c r="D29" s="3">
        <v>8</v>
      </c>
      <c r="E29" s="3">
        <v>20</v>
      </c>
      <c r="F29" s="3" t="str">
        <f>HYPERLINK("https://www.boe.es/gazeta/dias/1819/02/27/pdfs/GMD-1819-25.pdf","Abrir PDF")</f>
        <v>Abrir PDF</v>
      </c>
    </row>
    <row r="30" spans="1:6" ht="31.05" customHeight="1">
      <c r="A30" s="6">
        <v>-29523</v>
      </c>
      <c r="B30" s="2" t="s">
        <v>436</v>
      </c>
      <c r="C30" s="2" t="s">
        <v>9993</v>
      </c>
      <c r="D30" s="3">
        <v>8</v>
      </c>
      <c r="E30" s="3">
        <v>18</v>
      </c>
      <c r="F30" s="3" t="str">
        <f>HYPERLINK("https://www.boe.es/gazeta/dias/1819/03/02/pdfs/GMD-1819-26.pdf","Abrir PDF")</f>
        <v>Abrir PDF</v>
      </c>
    </row>
    <row r="31" spans="1:6" ht="31.05" customHeight="1">
      <c r="A31" s="6">
        <v>-29521</v>
      </c>
      <c r="B31" s="2" t="s">
        <v>1002</v>
      </c>
      <c r="C31" s="2" t="s">
        <v>9994</v>
      </c>
      <c r="D31" s="3">
        <v>8</v>
      </c>
      <c r="E31" s="3">
        <v>35</v>
      </c>
      <c r="F31" s="3" t="str">
        <f>HYPERLINK("https://www.boe.es/gazeta/dias/1819/03/04/pdfs/GMD-1819-27.pdf","Abrir PDF")</f>
        <v>Abrir PDF</v>
      </c>
    </row>
    <row r="32" spans="1:6" ht="31.05" customHeight="1">
      <c r="A32" s="6">
        <v>-29519</v>
      </c>
      <c r="B32" s="2" t="s">
        <v>142</v>
      </c>
      <c r="C32" s="2" t="s">
        <v>9995</v>
      </c>
      <c r="D32" s="3">
        <v>8</v>
      </c>
      <c r="E32" s="3">
        <v>20</v>
      </c>
      <c r="F32" s="3" t="str">
        <f>HYPERLINK("https://www.boe.es/gazeta/dias/1819/03/06/pdfs/GMD-1819-28.pdf","Abrir PDF")</f>
        <v>Abrir PDF</v>
      </c>
    </row>
    <row r="33" spans="1:6" ht="31.05" customHeight="1">
      <c r="A33" s="6">
        <v>-29516</v>
      </c>
      <c r="B33" s="2" t="s">
        <v>137</v>
      </c>
      <c r="C33" s="2" t="s">
        <v>9996</v>
      </c>
      <c r="D33" s="3">
        <v>12</v>
      </c>
      <c r="E33" s="3">
        <v>40</v>
      </c>
      <c r="F33" s="3" t="str">
        <f>HYPERLINK("https://www.boe.es/gazeta/dias/1819/03/09/pdfs/GMD-1819-29.pdf","Abrir PDF")</f>
        <v>Abrir PDF</v>
      </c>
    </row>
    <row r="34" spans="1:6" ht="31.05" customHeight="1">
      <c r="A34" s="6">
        <v>-29514</v>
      </c>
      <c r="B34" s="2" t="s">
        <v>595</v>
      </c>
      <c r="C34" s="2" t="s">
        <v>9997</v>
      </c>
      <c r="D34" s="3">
        <v>8</v>
      </c>
      <c r="E34" s="3">
        <v>17</v>
      </c>
      <c r="F34" s="3" t="str">
        <f>HYPERLINK("https://www.boe.es/gazeta/dias/1819/03/11/pdfs/GMD-1819-30.pdf","Abrir PDF")</f>
        <v>Abrir PDF</v>
      </c>
    </row>
    <row r="35" spans="1:6" ht="31.05" customHeight="1">
      <c r="A35" s="6">
        <v>-29512</v>
      </c>
      <c r="B35" s="2" t="s">
        <v>741</v>
      </c>
      <c r="C35" s="2" t="s">
        <v>9998</v>
      </c>
      <c r="D35" s="3">
        <v>8</v>
      </c>
      <c r="E35" s="3">
        <v>13</v>
      </c>
      <c r="F35" s="3" t="str">
        <f>HYPERLINK("https://www.boe.es/gazeta/dias/1819/03/13/pdfs/GMD-1819-31.pdf","Abrir PDF")</f>
        <v>Abrir PDF</v>
      </c>
    </row>
    <row r="36" spans="1:6" ht="31.05" customHeight="1">
      <c r="A36" s="6">
        <v>-29509</v>
      </c>
      <c r="B36" s="2" t="s">
        <v>942</v>
      </c>
      <c r="C36" s="2" t="s">
        <v>9999</v>
      </c>
      <c r="D36" s="3">
        <v>8</v>
      </c>
      <c r="E36" s="3">
        <v>16</v>
      </c>
      <c r="F36" s="3" t="str">
        <f>HYPERLINK("https://www.boe.es/gazeta/dias/1819/03/16/pdfs/GMD-1819-32.pdf","Abrir PDF")</f>
        <v>Abrir PDF</v>
      </c>
    </row>
    <row r="37" spans="1:6" ht="31.05" customHeight="1">
      <c r="A37" s="6">
        <v>-29507</v>
      </c>
      <c r="B37" s="2" t="s">
        <v>1928</v>
      </c>
      <c r="C37" s="2" t="s">
        <v>10000</v>
      </c>
      <c r="D37" s="3">
        <v>8</v>
      </c>
      <c r="E37" s="3">
        <v>21</v>
      </c>
      <c r="F37" s="3" t="str">
        <f>HYPERLINK("https://www.boe.es/gazeta/dias/1819/03/18/pdfs/GMD-1819-33.pdf","Abrir PDF")</f>
        <v>Abrir PDF</v>
      </c>
    </row>
    <row r="38" spans="1:6" ht="31.05" customHeight="1">
      <c r="A38" s="6">
        <v>-29505</v>
      </c>
      <c r="B38" s="2" t="s">
        <v>597</v>
      </c>
      <c r="C38" s="2" t="s">
        <v>10001</v>
      </c>
      <c r="D38" s="3">
        <v>8</v>
      </c>
      <c r="E38" s="3">
        <v>18</v>
      </c>
      <c r="F38" s="3" t="str">
        <f>HYPERLINK("https://www.boe.es/gazeta/dias/1819/03/20/pdfs/GMD-1819-34.pdf","Abrir PDF")</f>
        <v>Abrir PDF</v>
      </c>
    </row>
    <row r="39" spans="1:6" ht="31.05" customHeight="1">
      <c r="A39" s="6">
        <v>-29502</v>
      </c>
      <c r="B39" s="2" t="s">
        <v>86</v>
      </c>
      <c r="C39" s="2" t="s">
        <v>10002</v>
      </c>
      <c r="D39" s="3">
        <v>8</v>
      </c>
      <c r="E39" s="3">
        <v>43</v>
      </c>
      <c r="F39" s="3" t="str">
        <f>HYPERLINK("https://www.boe.es/gazeta/dias/1819/03/23/pdfs/GMD-1819-35.pdf","Abrir PDF")</f>
        <v>Abrir PDF</v>
      </c>
    </row>
    <row r="40" spans="1:6" ht="31.05" customHeight="1">
      <c r="A40" s="6">
        <v>-29500</v>
      </c>
      <c r="B40" s="2" t="s">
        <v>212</v>
      </c>
      <c r="C40" s="2" t="s">
        <v>10003</v>
      </c>
      <c r="D40" s="3">
        <v>8</v>
      </c>
      <c r="E40" s="3">
        <v>15</v>
      </c>
      <c r="F40" s="3" t="str">
        <f>HYPERLINK("https://www.boe.es/gazeta/dias/1819/03/25/pdfs/GMD-1819-36.pdf","Abrir PDF")</f>
        <v>Abrir PDF</v>
      </c>
    </row>
    <row r="41" spans="1:6" ht="31.05" customHeight="1">
      <c r="A41" s="6">
        <v>-29498</v>
      </c>
      <c r="B41" s="2" t="s">
        <v>119</v>
      </c>
      <c r="C41" s="2" t="s">
        <v>10004</v>
      </c>
      <c r="D41" s="3">
        <v>8</v>
      </c>
      <c r="E41" s="3">
        <v>14</v>
      </c>
      <c r="F41" s="3" t="str">
        <f>HYPERLINK("https://www.boe.es/gazeta/dias/1819/03/27/pdfs/GMD-1819-37.pdf","Abrir PDF")</f>
        <v>Abrir PDF</v>
      </c>
    </row>
    <row r="42" spans="1:6" ht="31.05" customHeight="1">
      <c r="A42" s="6">
        <v>-29495</v>
      </c>
      <c r="B42" s="2" t="s">
        <v>992</v>
      </c>
      <c r="C42" s="2" t="s">
        <v>10005</v>
      </c>
      <c r="D42" s="3">
        <v>12</v>
      </c>
      <c r="E42" s="3">
        <v>37</v>
      </c>
      <c r="F42" s="3" t="str">
        <f>HYPERLINK("https://www.boe.es/gazeta/dias/1819/03/30/pdfs/GMD-1819-38.pdf","Abrir PDF")</f>
        <v>Abrir PDF</v>
      </c>
    </row>
    <row r="43" spans="1:6" ht="31.05" customHeight="1">
      <c r="A43" s="6">
        <v>-29493</v>
      </c>
      <c r="B43" s="2" t="s">
        <v>404</v>
      </c>
      <c r="C43" s="2" t="s">
        <v>10006</v>
      </c>
      <c r="D43" s="3">
        <v>8</v>
      </c>
      <c r="E43" s="3">
        <v>26</v>
      </c>
      <c r="F43" s="3" t="str">
        <f>HYPERLINK("https://www.boe.es/gazeta/dias/1819/04/01/pdfs/GMD-1819-39.pdf","Abrir PDF")</f>
        <v>Abrir PDF</v>
      </c>
    </row>
    <row r="44" spans="1:6" ht="31.05" customHeight="1">
      <c r="A44" s="6">
        <v>-29491</v>
      </c>
      <c r="B44" s="2" t="s">
        <v>1604</v>
      </c>
      <c r="C44" s="2" t="s">
        <v>10007</v>
      </c>
      <c r="D44" s="3">
        <v>8</v>
      </c>
      <c r="E44" s="3">
        <v>10</v>
      </c>
      <c r="F44" s="3" t="str">
        <f>HYPERLINK("https://www.boe.es/gazeta/dias/1819/04/03/pdfs/GMD-1819-40.pdf","Abrir PDF")</f>
        <v>Abrir PDF</v>
      </c>
    </row>
    <row r="45" spans="1:6" ht="31.05" customHeight="1">
      <c r="A45" s="6">
        <v>-29488</v>
      </c>
      <c r="B45" s="2" t="s">
        <v>27</v>
      </c>
      <c r="C45" s="2" t="s">
        <v>10008</v>
      </c>
      <c r="D45" s="3">
        <v>8</v>
      </c>
      <c r="E45" s="3">
        <v>25</v>
      </c>
      <c r="F45" s="3" t="str">
        <f>HYPERLINK("https://www.boe.es/gazeta/dias/1819/04/06/pdfs/GMD-1819-41.pdf","Abrir PDF")</f>
        <v>Abrir PDF</v>
      </c>
    </row>
    <row r="46" spans="1:6" ht="31.05" customHeight="1">
      <c r="A46" s="6">
        <v>-29486</v>
      </c>
      <c r="B46" s="2" t="s">
        <v>330</v>
      </c>
      <c r="C46" s="2" t="s">
        <v>10009</v>
      </c>
      <c r="D46" s="3">
        <v>8</v>
      </c>
      <c r="E46" s="3">
        <v>23</v>
      </c>
      <c r="F46" s="3" t="str">
        <f>HYPERLINK("https://www.boe.es/gazeta/dias/1819/04/08/pdfs/GMD-1819-42.pdf","Abrir PDF")</f>
        <v>Abrir PDF</v>
      </c>
    </row>
    <row r="47" spans="1:6" ht="31.05" customHeight="1">
      <c r="A47" s="6">
        <v>-29484</v>
      </c>
      <c r="B47" s="2" t="s">
        <v>295</v>
      </c>
      <c r="C47" s="2" t="s">
        <v>10010</v>
      </c>
      <c r="D47" s="3">
        <v>8</v>
      </c>
      <c r="E47" s="3">
        <v>14</v>
      </c>
      <c r="F47" s="3" t="str">
        <f>HYPERLINK("https://www.boe.es/gazeta/dias/1819/04/10/pdfs/GMD-1819-43.pdf","Abrir PDF")</f>
        <v>Abrir PDF</v>
      </c>
    </row>
    <row r="48" spans="1:6" ht="31.05" customHeight="1">
      <c r="A48" s="6">
        <v>-29481</v>
      </c>
      <c r="B48" s="2" t="s">
        <v>1504</v>
      </c>
      <c r="C48" s="2" t="s">
        <v>10011</v>
      </c>
      <c r="D48" s="3">
        <v>8</v>
      </c>
      <c r="E48" s="3">
        <v>19</v>
      </c>
      <c r="F48" s="3" t="str">
        <f>HYPERLINK("https://www.boe.es/gazeta/dias/1819/04/13/pdfs/GMD-1819-44.pdf","Abrir PDF")</f>
        <v>Abrir PDF</v>
      </c>
    </row>
    <row r="49" spans="1:6" ht="31.05" customHeight="1">
      <c r="A49" s="6">
        <v>-29479</v>
      </c>
      <c r="B49" s="2" t="s">
        <v>979</v>
      </c>
      <c r="C49" s="2" t="s">
        <v>10012</v>
      </c>
      <c r="D49" s="3">
        <v>8</v>
      </c>
      <c r="E49" s="3">
        <v>23</v>
      </c>
      <c r="F49" s="3" t="str">
        <f>HYPERLINK("https://www.boe.es/gazeta/dias/1819/04/15/pdfs/GMD-1819-45.pdf","Abrir PDF")</f>
        <v>Abrir PDF</v>
      </c>
    </row>
    <row r="50" spans="1:6" ht="31.05" customHeight="1">
      <c r="A50" s="6">
        <v>-29477</v>
      </c>
      <c r="B50" s="2" t="s">
        <v>789</v>
      </c>
      <c r="C50" s="2" t="s">
        <v>10013</v>
      </c>
      <c r="D50" s="3">
        <v>8</v>
      </c>
      <c r="E50" s="3">
        <v>21</v>
      </c>
      <c r="F50" s="3" t="str">
        <f>HYPERLINK("https://www.boe.es/gazeta/dias/1819/04/17/pdfs/GMD-1819-46.pdf","Abrir PDF")</f>
        <v>Abrir PDF</v>
      </c>
    </row>
    <row r="51" spans="1:6" ht="31.05" customHeight="1">
      <c r="A51" s="6">
        <v>-29474</v>
      </c>
      <c r="B51" s="2" t="s">
        <v>216</v>
      </c>
      <c r="C51" s="2" t="s">
        <v>10014</v>
      </c>
      <c r="D51" s="3">
        <v>8</v>
      </c>
      <c r="E51" s="3">
        <v>14</v>
      </c>
      <c r="F51" s="3" t="str">
        <f>HYPERLINK("https://www.boe.es/gazeta/dias/1819/04/20/pdfs/GMD-1819-47.pdf","Abrir PDF")</f>
        <v>Abrir PDF</v>
      </c>
    </row>
    <row r="52" spans="1:6" ht="31.05" customHeight="1">
      <c r="A52" s="6">
        <v>-29472</v>
      </c>
      <c r="B52" s="2" t="s">
        <v>393</v>
      </c>
      <c r="C52" s="2" t="s">
        <v>10015</v>
      </c>
      <c r="D52" s="3">
        <v>8</v>
      </c>
      <c r="E52" s="3">
        <v>30</v>
      </c>
      <c r="F52" s="3" t="str">
        <f>HYPERLINK("https://www.boe.es/gazeta/dias/1819/04/22/pdfs/GMD-1819-48.pdf","Abrir PDF")</f>
        <v>Abrir PDF</v>
      </c>
    </row>
    <row r="53" spans="1:6" ht="31.05" customHeight="1">
      <c r="A53" s="6">
        <v>-29470</v>
      </c>
      <c r="B53" s="2" t="s">
        <v>1188</v>
      </c>
      <c r="C53" s="2" t="s">
        <v>10016</v>
      </c>
      <c r="D53" s="3">
        <v>8</v>
      </c>
      <c r="E53" s="3">
        <v>22</v>
      </c>
      <c r="F53" s="3" t="str">
        <f>HYPERLINK("https://www.boe.es/gazeta/dias/1819/04/24/pdfs/GMD-1819-49.pdf","Abrir PDF")</f>
        <v>Abrir PDF</v>
      </c>
    </row>
    <row r="54" spans="1:6" ht="31.05" customHeight="1">
      <c r="A54" s="6">
        <v>-29467</v>
      </c>
      <c r="B54" s="2" t="s">
        <v>1712</v>
      </c>
      <c r="C54" s="2" t="s">
        <v>10017</v>
      </c>
      <c r="D54" s="3">
        <v>8</v>
      </c>
      <c r="E54" s="3">
        <v>15</v>
      </c>
      <c r="F54" s="3" t="str">
        <f>HYPERLINK("https://www.boe.es/gazeta/dias/1819/04/27/pdfs/GMD-1819-50.pdf","Abrir PDF")</f>
        <v>Abrir PDF</v>
      </c>
    </row>
    <row r="55" spans="1:6" ht="31.05" customHeight="1">
      <c r="A55" s="6">
        <v>-29465</v>
      </c>
      <c r="B55" s="2" t="s">
        <v>1934</v>
      </c>
      <c r="C55" s="2" t="s">
        <v>10018</v>
      </c>
      <c r="D55" s="3">
        <v>8</v>
      </c>
      <c r="E55" s="3">
        <v>17</v>
      </c>
      <c r="F55" s="3" t="str">
        <f>HYPERLINK("https://www.boe.es/gazeta/dias/1819/04/29/pdfs/GMD-1819-51.pdf","Abrir PDF")</f>
        <v>Abrir PDF</v>
      </c>
    </row>
    <row r="56" spans="1:6" ht="31.05" customHeight="1">
      <c r="A56" s="6">
        <v>-29463</v>
      </c>
      <c r="B56" s="2" t="s">
        <v>114</v>
      </c>
      <c r="C56" s="2" t="s">
        <v>10019</v>
      </c>
      <c r="D56" s="3">
        <v>8</v>
      </c>
      <c r="E56" s="3">
        <v>25</v>
      </c>
      <c r="F56" s="3" t="str">
        <f>HYPERLINK("https://www.boe.es/gazeta/dias/1819/05/01/pdfs/GMD-1819-52.pdf","Abrir PDF")</f>
        <v>Abrir PDF</v>
      </c>
    </row>
    <row r="57" spans="1:6" ht="31.05" customHeight="1">
      <c r="A57" s="6">
        <v>-29460</v>
      </c>
      <c r="B57" s="2" t="s">
        <v>1534</v>
      </c>
      <c r="C57" s="2" t="s">
        <v>10020</v>
      </c>
      <c r="D57" s="3">
        <v>8</v>
      </c>
      <c r="E57" s="3">
        <v>19</v>
      </c>
      <c r="F57" s="3" t="str">
        <f>HYPERLINK("https://www.boe.es/gazeta/dias/1819/05/04/pdfs/GMD-1819-53.pdf","Abrir PDF")</f>
        <v>Abrir PDF</v>
      </c>
    </row>
    <row r="58" spans="1:6" ht="31.05" customHeight="1">
      <c r="A58" s="6">
        <v>-29458</v>
      </c>
      <c r="B58" s="2" t="s">
        <v>766</v>
      </c>
      <c r="C58" s="2" t="s">
        <v>10021</v>
      </c>
      <c r="D58" s="3">
        <v>8</v>
      </c>
      <c r="E58" s="3">
        <v>25</v>
      </c>
      <c r="F58" s="3" t="str">
        <f>HYPERLINK("https://www.boe.es/gazeta/dias/1819/05/06/pdfs/GMD-1819-54.pdf","Abrir PDF")</f>
        <v>Abrir PDF</v>
      </c>
    </row>
    <row r="59" spans="1:6" ht="31.05" customHeight="1">
      <c r="A59" s="6">
        <v>-29456</v>
      </c>
      <c r="B59" s="2" t="s">
        <v>468</v>
      </c>
      <c r="C59" s="2" t="s">
        <v>10022</v>
      </c>
      <c r="D59" s="3">
        <v>8</v>
      </c>
      <c r="E59" s="3">
        <v>23</v>
      </c>
      <c r="F59" s="3" t="str">
        <f>HYPERLINK("https://www.boe.es/gazeta/dias/1819/05/08/pdfs/GMD-1819-55.pdf","Abrir PDF")</f>
        <v>Abrir PDF</v>
      </c>
    </row>
    <row r="60" spans="1:6" ht="31.05" customHeight="1">
      <c r="A60" s="6">
        <v>-29453</v>
      </c>
      <c r="B60" s="2" t="s">
        <v>768</v>
      </c>
      <c r="C60" s="2" t="s">
        <v>10023</v>
      </c>
      <c r="D60" s="3">
        <v>8</v>
      </c>
      <c r="E60" s="3">
        <v>14</v>
      </c>
      <c r="F60" s="3" t="str">
        <f>HYPERLINK("https://www.boe.es/gazeta/dias/1819/05/11/pdfs/GMD-1819-56.pdf","Abrir PDF")</f>
        <v>Abrir PDF</v>
      </c>
    </row>
    <row r="61" spans="1:6" ht="31.05" customHeight="1">
      <c r="A61" s="6">
        <v>-29451</v>
      </c>
      <c r="B61" s="2" t="s">
        <v>208</v>
      </c>
      <c r="C61" s="2" t="s">
        <v>10024</v>
      </c>
      <c r="D61" s="3">
        <v>8</v>
      </c>
      <c r="E61" s="3">
        <v>15</v>
      </c>
      <c r="F61" s="3" t="str">
        <f>HYPERLINK("https://www.boe.es/gazeta/dias/1819/05/13/pdfs/GMD-1819-57.pdf","Abrir PDF")</f>
        <v>Abrir PDF</v>
      </c>
    </row>
    <row r="62" spans="1:6" ht="31.05" customHeight="1">
      <c r="A62" s="6">
        <v>-29449</v>
      </c>
      <c r="B62" s="2" t="s">
        <v>771</v>
      </c>
      <c r="C62" s="2" t="s">
        <v>10025</v>
      </c>
      <c r="D62" s="3">
        <v>8</v>
      </c>
      <c r="E62" s="3">
        <v>22</v>
      </c>
      <c r="F62" s="3" t="str">
        <f>HYPERLINK("https://www.boe.es/gazeta/dias/1819/05/15/pdfs/GMD-1819-58.pdf","Abrir PDF")</f>
        <v>Abrir PDF</v>
      </c>
    </row>
    <row r="63" spans="1:6" ht="31.05" customHeight="1">
      <c r="A63" s="6">
        <v>-29446</v>
      </c>
      <c r="B63" s="2" t="s">
        <v>773</v>
      </c>
      <c r="C63" s="2" t="s">
        <v>10026</v>
      </c>
      <c r="D63" s="3">
        <v>8</v>
      </c>
      <c r="E63" s="3">
        <v>23</v>
      </c>
      <c r="F63" s="3" t="str">
        <f>HYPERLINK("https://www.boe.es/gazeta/dias/1819/05/18/pdfs/GMD-1819-59.pdf","Abrir PDF")</f>
        <v>Abrir PDF</v>
      </c>
    </row>
    <row r="64" spans="1:6" ht="31.05" customHeight="1">
      <c r="A64" s="6">
        <v>-29444</v>
      </c>
      <c r="B64" s="2" t="s">
        <v>258</v>
      </c>
      <c r="C64" s="2" t="s">
        <v>10027</v>
      </c>
      <c r="D64" s="3">
        <v>8</v>
      </c>
      <c r="E64" s="3">
        <v>23</v>
      </c>
      <c r="F64" s="3" t="str">
        <f>HYPERLINK("https://www.boe.es/gazeta/dias/1819/05/20/pdfs/GMD-1819-60.pdf","Abrir PDF")</f>
        <v>Abrir PDF</v>
      </c>
    </row>
    <row r="65" spans="1:6" ht="31.05" customHeight="1">
      <c r="A65" s="6">
        <v>-29442</v>
      </c>
      <c r="B65" s="2" t="s">
        <v>427</v>
      </c>
      <c r="C65" s="2" t="s">
        <v>10028</v>
      </c>
      <c r="D65" s="3">
        <v>8</v>
      </c>
      <c r="E65" s="3">
        <v>45</v>
      </c>
      <c r="F65" s="3" t="str">
        <f>HYPERLINK("https://www.boe.es/gazeta/dias/1819/05/22/pdfs/GMD-1819-61.pdf","Abrir PDF")</f>
        <v>Abrir PDF</v>
      </c>
    </row>
    <row r="66" spans="1:6" ht="31.05" customHeight="1">
      <c r="A66" s="6">
        <v>-29439</v>
      </c>
      <c r="B66" s="2" t="s">
        <v>1101</v>
      </c>
      <c r="C66" s="2" t="s">
        <v>10029</v>
      </c>
      <c r="D66" s="3">
        <v>8</v>
      </c>
      <c r="E66" s="3">
        <v>27</v>
      </c>
      <c r="F66" s="3" t="str">
        <f>HYPERLINK("https://www.boe.es/gazeta/dias/1819/05/25/pdfs/GMD-1819-62.pdf","Abrir PDF")</f>
        <v>Abrir PDF</v>
      </c>
    </row>
    <row r="67" spans="1:6" ht="31.05" customHeight="1">
      <c r="A67" s="6">
        <v>-29437</v>
      </c>
      <c r="B67" s="2" t="s">
        <v>1147</v>
      </c>
      <c r="C67" s="2" t="s">
        <v>10030</v>
      </c>
      <c r="D67" s="3">
        <v>8</v>
      </c>
      <c r="E67" s="3">
        <v>21</v>
      </c>
      <c r="F67" s="3" t="str">
        <f>HYPERLINK("https://www.boe.es/gazeta/dias/1819/05/27/pdfs/GMD-1819-63.pdf","Abrir PDF")</f>
        <v>Abrir PDF</v>
      </c>
    </row>
    <row r="68" spans="1:6" ht="31.05" customHeight="1">
      <c r="A68" s="6">
        <v>-29435</v>
      </c>
      <c r="B68" s="2" t="s">
        <v>191</v>
      </c>
      <c r="C68" s="2" t="s">
        <v>10031</v>
      </c>
      <c r="D68" s="3">
        <v>8</v>
      </c>
      <c r="E68" s="3">
        <v>38</v>
      </c>
      <c r="F68" s="3" t="str">
        <f>HYPERLINK("https://www.boe.es/gazeta/dias/1819/05/29/pdfs/GMD-1819-64.pdf","Abrir PDF")</f>
        <v>Abrir PDF</v>
      </c>
    </row>
    <row r="69" spans="1:6" ht="31.05" customHeight="1">
      <c r="A69" s="6">
        <v>-29432</v>
      </c>
      <c r="B69" s="2" t="s">
        <v>1967</v>
      </c>
      <c r="C69" s="2" t="s">
        <v>10032</v>
      </c>
      <c r="D69" s="3">
        <v>8</v>
      </c>
      <c r="E69" s="3">
        <v>15</v>
      </c>
      <c r="F69" s="3" t="str">
        <f>HYPERLINK("https://www.boe.es/gazeta/dias/1819/06/01/pdfs/GMD-1819-65.pdf","Abrir PDF")</f>
        <v>Abrir PDF</v>
      </c>
    </row>
    <row r="70" spans="1:6" ht="31.05" customHeight="1">
      <c r="A70" s="6">
        <v>-29430</v>
      </c>
      <c r="B70" s="2" t="s">
        <v>178</v>
      </c>
      <c r="C70" s="2" t="s">
        <v>10033</v>
      </c>
      <c r="D70" s="3">
        <v>8</v>
      </c>
      <c r="E70" s="3">
        <v>26</v>
      </c>
      <c r="F70" s="3" t="str">
        <f>HYPERLINK("https://www.boe.es/gazeta/dias/1819/06/03/pdfs/GMD-1819-66.pdf","Abrir PDF")</f>
        <v>Abrir PDF</v>
      </c>
    </row>
    <row r="71" spans="1:6" ht="31.05" customHeight="1">
      <c r="A71" s="6">
        <v>-29428</v>
      </c>
      <c r="B71" s="2" t="s">
        <v>730</v>
      </c>
      <c r="C71" s="2" t="s">
        <v>10034</v>
      </c>
      <c r="D71" s="3">
        <v>8</v>
      </c>
      <c r="E71" s="3">
        <v>16</v>
      </c>
      <c r="F71" s="3" t="str">
        <f>HYPERLINK("https://www.boe.es/gazeta/dias/1819/06/05/pdfs/GMD-1819-67.pdf","Abrir PDF")</f>
        <v>Abrir PDF</v>
      </c>
    </row>
    <row r="72" spans="1:6" ht="31.05" customHeight="1">
      <c r="A72" s="6">
        <v>-29425</v>
      </c>
      <c r="B72" s="2" t="s">
        <v>110</v>
      </c>
      <c r="C72" s="2" t="s">
        <v>10035</v>
      </c>
      <c r="D72" s="3">
        <v>8</v>
      </c>
      <c r="E72" s="3">
        <v>41</v>
      </c>
      <c r="F72" s="3" t="str">
        <f>HYPERLINK("https://www.boe.es/gazeta/dias/1819/06/08/pdfs/GMD-1819-68.pdf","Abrir PDF")</f>
        <v>Abrir PDF</v>
      </c>
    </row>
    <row r="73" spans="1:6" ht="31.05" customHeight="1">
      <c r="A73" s="6">
        <v>-29423</v>
      </c>
      <c r="B73" s="2" t="s">
        <v>1205</v>
      </c>
      <c r="C73" s="2" t="s">
        <v>10036</v>
      </c>
      <c r="D73" s="3">
        <v>8</v>
      </c>
      <c r="E73" s="3">
        <v>13</v>
      </c>
      <c r="F73" s="3" t="str">
        <f>HYPERLINK("https://www.boe.es/gazeta/dias/1819/06/10/pdfs/GMD-1819-69.pdf","Abrir PDF")</f>
        <v>Abrir PDF</v>
      </c>
    </row>
    <row r="74" spans="1:6" ht="31.05" customHeight="1">
      <c r="A74" s="6">
        <v>-29421</v>
      </c>
      <c r="B74" s="2" t="s">
        <v>1972</v>
      </c>
      <c r="C74" s="2" t="s">
        <v>10037</v>
      </c>
      <c r="D74" s="3">
        <v>8</v>
      </c>
      <c r="E74" s="3">
        <v>23</v>
      </c>
      <c r="F74" s="3" t="str">
        <f>HYPERLINK("https://www.boe.es/gazeta/dias/1819/06/12/pdfs/GMD-1819-70.pdf","Abrir PDF")</f>
        <v>Abrir PDF</v>
      </c>
    </row>
    <row r="75" spans="1:6" ht="31.05" customHeight="1">
      <c r="A75" s="6">
        <v>-29419</v>
      </c>
      <c r="B75" s="2" t="s">
        <v>1491</v>
      </c>
      <c r="C75" s="2" t="s">
        <v>10038</v>
      </c>
      <c r="D75" s="3">
        <v>4</v>
      </c>
      <c r="E75" s="3">
        <v>16</v>
      </c>
      <c r="F75" s="3" t="str">
        <f>HYPERLINK("https://www.boe.es/gazeta/dias/1819/06/14/pdfs/GMD-1819-71E.pdf","Abrir PDF")</f>
        <v>Abrir PDF</v>
      </c>
    </row>
    <row r="76" spans="1:6" ht="31.05" customHeight="1">
      <c r="A76" s="6">
        <v>-29418</v>
      </c>
      <c r="B76" s="2" t="s">
        <v>447</v>
      </c>
      <c r="C76" s="2" t="s">
        <v>10039</v>
      </c>
      <c r="D76" s="3">
        <v>8</v>
      </c>
      <c r="E76" s="3">
        <v>13</v>
      </c>
      <c r="F76" s="3" t="str">
        <f>HYPERLINK("https://www.boe.es/gazeta/dias/1819/06/15/pdfs/GMD-1819-72.pdf","Abrir PDF")</f>
        <v>Abrir PDF</v>
      </c>
    </row>
    <row r="77" spans="1:6" ht="31.05" customHeight="1">
      <c r="A77" s="6">
        <v>-29416</v>
      </c>
      <c r="B77" s="2" t="s">
        <v>251</v>
      </c>
      <c r="C77" s="2" t="s">
        <v>10040</v>
      </c>
      <c r="D77" s="3">
        <v>8</v>
      </c>
      <c r="E77" s="3">
        <v>21</v>
      </c>
      <c r="F77" s="3" t="str">
        <f>HYPERLINK("https://www.boe.es/gazeta/dias/1819/06/17/pdfs/GMD-1819-73.pdf","Abrir PDF")</f>
        <v>Abrir PDF</v>
      </c>
    </row>
    <row r="78" spans="1:6" ht="31.05" customHeight="1">
      <c r="A78" s="6">
        <v>-29414</v>
      </c>
      <c r="B78" s="2" t="s">
        <v>732</v>
      </c>
      <c r="C78" s="2" t="s">
        <v>10041</v>
      </c>
      <c r="D78" s="3">
        <v>8</v>
      </c>
      <c r="E78" s="3">
        <v>25</v>
      </c>
      <c r="F78" s="3" t="str">
        <f>HYPERLINK("https://www.boe.es/gazeta/dias/1819/06/19/pdfs/GMD-1819-74.pdf","Abrir PDF")</f>
        <v>Abrir PDF</v>
      </c>
    </row>
    <row r="79" spans="1:6" ht="31.05" customHeight="1">
      <c r="A79" s="6">
        <v>-29411</v>
      </c>
      <c r="B79" s="2" t="s">
        <v>317</v>
      </c>
      <c r="C79" s="2" t="s">
        <v>10042</v>
      </c>
      <c r="D79" s="3">
        <v>8</v>
      </c>
      <c r="E79" s="3">
        <v>24</v>
      </c>
      <c r="F79" s="3" t="str">
        <f>HYPERLINK("https://www.boe.es/gazeta/dias/1819/06/22/pdfs/GMD-1819-75.pdf","Abrir PDF")</f>
        <v>Abrir PDF</v>
      </c>
    </row>
    <row r="80" spans="1:6" ht="31.05" customHeight="1">
      <c r="A80" s="6">
        <v>-29409</v>
      </c>
      <c r="B80" s="2" t="s">
        <v>106</v>
      </c>
      <c r="C80" s="2" t="s">
        <v>10043</v>
      </c>
      <c r="D80" s="3">
        <v>8</v>
      </c>
      <c r="E80" s="3">
        <v>17</v>
      </c>
      <c r="F80" s="3" t="str">
        <f>HYPERLINK("https://www.boe.es/gazeta/dias/1819/06/24/pdfs/GMD-1819-76.pdf","Abrir PDF")</f>
        <v>Abrir PDF</v>
      </c>
    </row>
    <row r="81" spans="1:6" ht="31.05" customHeight="1">
      <c r="A81" s="6">
        <v>-29407</v>
      </c>
      <c r="B81" s="2" t="s">
        <v>64</v>
      </c>
      <c r="C81" s="2" t="s">
        <v>10044</v>
      </c>
      <c r="D81" s="3">
        <v>8</v>
      </c>
      <c r="E81" s="3">
        <v>25</v>
      </c>
      <c r="F81" s="3" t="str">
        <f>HYPERLINK("https://www.boe.es/gazeta/dias/1819/06/26/pdfs/GMD-1819-77.pdf","Abrir PDF")</f>
        <v>Abrir PDF</v>
      </c>
    </row>
    <row r="82" spans="1:6" ht="31.05" customHeight="1">
      <c r="A82" s="6">
        <v>-29404</v>
      </c>
      <c r="B82" s="2" t="s">
        <v>1939</v>
      </c>
      <c r="C82" s="2" t="s">
        <v>10045</v>
      </c>
      <c r="D82" s="3">
        <v>8</v>
      </c>
      <c r="E82" s="3">
        <v>14</v>
      </c>
      <c r="F82" s="3" t="str">
        <f>HYPERLINK("https://www.boe.es/gazeta/dias/1819/06/29/pdfs/GMD-1819-78.pdf","Abrir PDF")</f>
        <v>Abrir PDF</v>
      </c>
    </row>
    <row r="83" spans="1:6" ht="31.05" customHeight="1">
      <c r="A83" s="6">
        <v>-29402</v>
      </c>
      <c r="B83" s="2" t="s">
        <v>1091</v>
      </c>
      <c r="C83" s="2" t="s">
        <v>10046</v>
      </c>
      <c r="D83" s="3">
        <v>8</v>
      </c>
      <c r="E83" s="3">
        <v>13</v>
      </c>
      <c r="F83" s="3" t="str">
        <f>HYPERLINK("https://www.boe.es/gazeta/dias/1819/07/01/pdfs/GMD-1819-79.pdf","Abrir PDF")</f>
        <v>Abrir PDF</v>
      </c>
    </row>
    <row r="84" spans="1:6" ht="31.05" customHeight="1">
      <c r="A84" s="6">
        <v>-29400</v>
      </c>
      <c r="B84" s="2" t="s">
        <v>2181</v>
      </c>
      <c r="C84" s="2" t="s">
        <v>10047</v>
      </c>
      <c r="D84" s="3">
        <v>8</v>
      </c>
      <c r="E84" s="3">
        <v>25</v>
      </c>
      <c r="F84" s="3" t="str">
        <f>HYPERLINK("https://www.boe.es/gazeta/dias/1819/07/03/pdfs/GMD-1819-80.pdf","Abrir PDF")</f>
        <v>Abrir PDF</v>
      </c>
    </row>
    <row r="85" spans="1:6" ht="31.05" customHeight="1">
      <c r="A85" s="6">
        <v>-29397</v>
      </c>
      <c r="B85" s="2" t="s">
        <v>599</v>
      </c>
      <c r="C85" s="2" t="s">
        <v>10048</v>
      </c>
      <c r="D85" s="3">
        <v>8</v>
      </c>
      <c r="E85" s="3">
        <v>24</v>
      </c>
      <c r="F85" s="3" t="str">
        <f>HYPERLINK("https://www.boe.es/gazeta/dias/1819/07/06/pdfs/GMD-1819-81.pdf","Abrir PDF")</f>
        <v>Abrir PDF</v>
      </c>
    </row>
    <row r="86" spans="1:6" ht="31.05" customHeight="1">
      <c r="A86" s="6">
        <v>-29395</v>
      </c>
      <c r="B86" s="2" t="s">
        <v>684</v>
      </c>
      <c r="C86" s="2" t="s">
        <v>10049</v>
      </c>
      <c r="D86" s="3">
        <v>8</v>
      </c>
      <c r="E86" s="3">
        <v>11</v>
      </c>
      <c r="F86" s="3" t="str">
        <f>HYPERLINK("https://www.boe.es/gazeta/dias/1819/07/08/pdfs/GMD-1819-82.pdf","Abrir PDF")</f>
        <v>Abrir PDF</v>
      </c>
    </row>
    <row r="87" spans="1:6" ht="31.05" customHeight="1">
      <c r="A87" s="6">
        <v>-29393</v>
      </c>
      <c r="B87" s="2" t="s">
        <v>536</v>
      </c>
      <c r="C87" s="2" t="s">
        <v>10050</v>
      </c>
      <c r="D87" s="3">
        <v>8</v>
      </c>
      <c r="E87" s="3">
        <v>16</v>
      </c>
      <c r="F87" s="3" t="str">
        <f>HYPERLINK("https://www.boe.es/gazeta/dias/1819/07/10/pdfs/GMD-1819-83.pdf","Abrir PDF")</f>
        <v>Abrir PDF</v>
      </c>
    </row>
    <row r="88" spans="1:6" ht="31.05" customHeight="1">
      <c r="A88" s="6">
        <v>-29390</v>
      </c>
      <c r="B88" s="2" t="s">
        <v>263</v>
      </c>
      <c r="C88" s="2" t="s">
        <v>10051</v>
      </c>
      <c r="D88" s="3">
        <v>12</v>
      </c>
      <c r="E88" s="3">
        <v>31</v>
      </c>
      <c r="F88" s="3" t="str">
        <f>HYPERLINK("https://www.boe.es/gazeta/dias/1819/07/13/pdfs/GMD-1819-84.pdf","Abrir PDF")</f>
        <v>Abrir PDF</v>
      </c>
    </row>
    <row r="89" spans="1:6" ht="31.05" customHeight="1">
      <c r="A89" s="6">
        <v>-29388</v>
      </c>
      <c r="B89" s="2" t="s">
        <v>879</v>
      </c>
      <c r="C89" s="2" t="s">
        <v>10052</v>
      </c>
      <c r="D89" s="3">
        <v>8</v>
      </c>
      <c r="E89" s="3">
        <v>23</v>
      </c>
      <c r="F89" s="3" t="str">
        <f>HYPERLINK("https://www.boe.es/gazeta/dias/1819/07/15/pdfs/GMD-1819-85.pdf","Abrir PDF")</f>
        <v>Abrir PDF</v>
      </c>
    </row>
    <row r="90" spans="1:6" ht="31.05" customHeight="1">
      <c r="A90" s="6">
        <v>-29386</v>
      </c>
      <c r="B90" s="2" t="s">
        <v>568</v>
      </c>
      <c r="C90" s="2" t="s">
        <v>10053</v>
      </c>
      <c r="D90" s="3">
        <v>8</v>
      </c>
      <c r="E90" s="3">
        <v>17</v>
      </c>
      <c r="F90" s="3" t="str">
        <f>HYPERLINK("https://www.boe.es/gazeta/dias/1819/07/17/pdfs/GMD-1819-86.pdf","Abrir PDF")</f>
        <v>Abrir PDF</v>
      </c>
    </row>
    <row r="91" spans="1:6" ht="31.05" customHeight="1">
      <c r="A91" s="6">
        <v>-29383</v>
      </c>
      <c r="B91" s="2" t="s">
        <v>631</v>
      </c>
      <c r="C91" s="2" t="s">
        <v>10054</v>
      </c>
      <c r="D91" s="3">
        <v>8</v>
      </c>
      <c r="E91" s="3">
        <v>17</v>
      </c>
      <c r="F91" s="3" t="str">
        <f>HYPERLINK("https://www.boe.es/gazeta/dias/1819/07/20/pdfs/GMD-1819-87.pdf","Abrir PDF")</f>
        <v>Abrir PDF</v>
      </c>
    </row>
    <row r="92" spans="1:6" ht="31.05" customHeight="1">
      <c r="A92" s="6">
        <v>-29381</v>
      </c>
      <c r="B92" s="2" t="s">
        <v>736</v>
      </c>
      <c r="C92" s="2" t="s">
        <v>10055</v>
      </c>
      <c r="D92" s="3">
        <v>8</v>
      </c>
      <c r="E92" s="3">
        <v>9</v>
      </c>
      <c r="F92" s="3" t="str">
        <f>HYPERLINK("https://www.boe.es/gazeta/dias/1819/07/22/pdfs/GMD-1819-88.pdf","Abrir PDF")</f>
        <v>Abrir PDF</v>
      </c>
    </row>
    <row r="93" spans="1:6" ht="31.05" customHeight="1">
      <c r="A93" s="6">
        <v>-29379</v>
      </c>
      <c r="B93" s="2" t="s">
        <v>161</v>
      </c>
      <c r="C93" s="2" t="s">
        <v>10056</v>
      </c>
      <c r="D93" s="3">
        <v>8</v>
      </c>
      <c r="E93" s="3">
        <v>27</v>
      </c>
      <c r="F93" s="3" t="str">
        <f>HYPERLINK("https://www.boe.es/gazeta/dias/1819/07/24/pdfs/GMD-1819-89.pdf","Abrir PDF")</f>
        <v>Abrir PDF</v>
      </c>
    </row>
    <row r="94" spans="1:6" ht="31.05" customHeight="1">
      <c r="A94" s="6">
        <v>-29376</v>
      </c>
      <c r="B94" s="2" t="s">
        <v>332</v>
      </c>
      <c r="C94" s="2" t="s">
        <v>10057</v>
      </c>
      <c r="D94" s="3">
        <v>8</v>
      </c>
      <c r="E94" s="3">
        <v>22</v>
      </c>
      <c r="F94" s="3" t="str">
        <f>HYPERLINK("https://www.boe.es/gazeta/dias/1819/07/27/pdfs/GMD-1819-90.pdf","Abrir PDF")</f>
        <v>Abrir PDF</v>
      </c>
    </row>
    <row r="95" spans="1:6" ht="31.05" customHeight="1">
      <c r="A95" s="6">
        <v>-29374</v>
      </c>
      <c r="B95" s="2" t="s">
        <v>204</v>
      </c>
      <c r="C95" s="2" t="s">
        <v>10058</v>
      </c>
      <c r="D95" s="3">
        <v>8</v>
      </c>
      <c r="E95" s="3">
        <v>24</v>
      </c>
      <c r="F95" s="3" t="str">
        <f>HYPERLINK("https://www.boe.es/gazeta/dias/1819/07/29/pdfs/GMD-1819-91.pdf","Abrir PDF")</f>
        <v>Abrir PDF</v>
      </c>
    </row>
    <row r="96" spans="1:6" ht="31.05" customHeight="1">
      <c r="A96" s="6">
        <v>-29372</v>
      </c>
      <c r="B96" s="2" t="s">
        <v>715</v>
      </c>
      <c r="C96" s="2" t="s">
        <v>10059</v>
      </c>
      <c r="D96" s="3">
        <v>8</v>
      </c>
      <c r="E96" s="3">
        <v>19</v>
      </c>
      <c r="F96" s="3" t="str">
        <f>HYPERLINK("https://www.boe.es/gazeta/dias/1819/07/31/pdfs/GMD-1819-92.pdf","Abrir PDF")</f>
        <v>Abrir PDF</v>
      </c>
    </row>
    <row r="97" spans="1:6" ht="31.05" customHeight="1">
      <c r="A97" s="6">
        <v>-29369</v>
      </c>
      <c r="B97" s="2" t="s">
        <v>231</v>
      </c>
      <c r="C97" s="2" t="s">
        <v>10060</v>
      </c>
      <c r="D97" s="3">
        <v>8</v>
      </c>
      <c r="E97" s="3">
        <v>46</v>
      </c>
      <c r="F97" s="3" t="str">
        <f>HYPERLINK("https://www.boe.es/gazeta/dias/1819/08/03/pdfs/GMD-1819-93.pdf","Abrir PDF")</f>
        <v>Abrir PDF</v>
      </c>
    </row>
    <row r="98" spans="1:6" ht="31.05" customHeight="1">
      <c r="A98" s="6">
        <v>-29367</v>
      </c>
      <c r="B98" s="2" t="s">
        <v>571</v>
      </c>
      <c r="C98" s="2" t="s">
        <v>10061</v>
      </c>
      <c r="D98" s="3">
        <v>8</v>
      </c>
      <c r="E98" s="3">
        <v>17</v>
      </c>
      <c r="F98" s="3" t="str">
        <f>HYPERLINK("https://www.boe.es/gazeta/dias/1819/08/05/pdfs/GMD-1819-94.pdf","Abrir PDF")</f>
        <v>Abrir PDF</v>
      </c>
    </row>
    <row r="99" spans="1:6" ht="31.05" customHeight="1">
      <c r="A99" s="6">
        <v>-29365</v>
      </c>
      <c r="B99" s="2" t="s">
        <v>218</v>
      </c>
      <c r="C99" s="2" t="s">
        <v>10062</v>
      </c>
      <c r="D99" s="3">
        <v>8</v>
      </c>
      <c r="E99" s="3">
        <v>28</v>
      </c>
      <c r="F99" s="3" t="str">
        <f>HYPERLINK("https://www.boe.es/gazeta/dias/1819/08/07/pdfs/GMD-1819-95.pdf","Abrir PDF")</f>
        <v>Abrir PDF</v>
      </c>
    </row>
    <row r="100" spans="1:6" ht="31.05" customHeight="1">
      <c r="A100" s="6">
        <v>-29362</v>
      </c>
      <c r="B100" s="2" t="s">
        <v>803</v>
      </c>
      <c r="C100" s="2" t="s">
        <v>10063</v>
      </c>
      <c r="D100" s="3">
        <v>8</v>
      </c>
      <c r="E100" s="3">
        <v>14</v>
      </c>
      <c r="F100" s="3" t="str">
        <f>HYPERLINK("https://www.boe.es/gazeta/dias/1819/08/10/pdfs/GMD-1819-96.pdf","Abrir PDF")</f>
        <v>Abrir PDF</v>
      </c>
    </row>
    <row r="101" spans="1:6" ht="31.05" customHeight="1">
      <c r="A101" s="6">
        <v>-29360</v>
      </c>
      <c r="B101" s="2" t="s">
        <v>182</v>
      </c>
      <c r="C101" s="2" t="s">
        <v>10064</v>
      </c>
      <c r="D101" s="3">
        <v>8</v>
      </c>
      <c r="E101" s="3">
        <v>13</v>
      </c>
      <c r="F101" s="3" t="str">
        <f>HYPERLINK("https://www.boe.es/gazeta/dias/1819/08/12/pdfs/GMD-1819-97.pdf","Abrir PDF")</f>
        <v>Abrir PDF</v>
      </c>
    </row>
    <row r="102" spans="1:6" ht="31.05" customHeight="1">
      <c r="A102" s="6">
        <v>-29358</v>
      </c>
      <c r="B102" s="2" t="s">
        <v>170</v>
      </c>
      <c r="C102" s="2" t="s">
        <v>10065</v>
      </c>
      <c r="D102" s="3">
        <v>8</v>
      </c>
      <c r="E102" s="3">
        <v>35</v>
      </c>
      <c r="F102" s="3" t="str">
        <f>HYPERLINK("https://www.boe.es/gazeta/dias/1819/08/14/pdfs/GMD-1819-98.pdf","Abrir PDF")</f>
        <v>Abrir PDF</v>
      </c>
    </row>
    <row r="103" spans="1:6" ht="31.05" customHeight="1">
      <c r="A103" s="6">
        <v>-29355</v>
      </c>
      <c r="B103" s="2" t="s">
        <v>347</v>
      </c>
      <c r="C103" s="2" t="s">
        <v>10066</v>
      </c>
      <c r="D103" s="3">
        <v>8</v>
      </c>
      <c r="E103" s="3">
        <v>39</v>
      </c>
      <c r="F103" s="3" t="str">
        <f>HYPERLINK("https://www.boe.es/gazeta/dias/1819/08/17/pdfs/GMD-1819-99.pdf","Abrir PDF")</f>
        <v>Abrir PDF</v>
      </c>
    </row>
    <row r="104" spans="1:6" ht="31.05" customHeight="1">
      <c r="A104" s="6">
        <v>-29353</v>
      </c>
      <c r="B104" s="2" t="s">
        <v>867</v>
      </c>
      <c r="C104" s="2" t="s">
        <v>10067</v>
      </c>
      <c r="D104" s="3">
        <v>8</v>
      </c>
      <c r="E104" s="3">
        <v>19</v>
      </c>
      <c r="F104" s="3" t="str">
        <f>HYPERLINK("https://www.boe.es/gazeta/dias/1819/08/19/pdfs/GMD-1819-100.pdf","Abrir PDF")</f>
        <v>Abrir PDF</v>
      </c>
    </row>
    <row r="105" spans="1:6" ht="31.05" customHeight="1">
      <c r="A105" s="6">
        <v>-29351</v>
      </c>
      <c r="B105" s="2" t="s">
        <v>101</v>
      </c>
      <c r="C105" s="2" t="s">
        <v>10068</v>
      </c>
      <c r="D105" s="3">
        <v>8</v>
      </c>
      <c r="E105" s="3">
        <v>17</v>
      </c>
      <c r="F105" s="3" t="str">
        <f>HYPERLINK("https://www.boe.es/gazeta/dias/1819/08/21/pdfs/GMD-1819-101.pdf","Abrir PDF")</f>
        <v>Abrir PDF</v>
      </c>
    </row>
    <row r="106" spans="1:6" ht="31.05" customHeight="1">
      <c r="A106" s="6">
        <v>-29348</v>
      </c>
      <c r="B106" s="2" t="s">
        <v>227</v>
      </c>
      <c r="C106" s="2" t="s">
        <v>10069</v>
      </c>
      <c r="D106" s="3">
        <v>8</v>
      </c>
      <c r="E106" s="3">
        <v>34</v>
      </c>
      <c r="F106" s="3" t="str">
        <f>HYPERLINK("https://www.boe.es/gazeta/dias/1819/08/24/pdfs/GMD-1819-102.pdf","Abrir PDF")</f>
        <v>Abrir PDF</v>
      </c>
    </row>
    <row r="107" spans="1:6" ht="31.05" customHeight="1">
      <c r="A107" s="6">
        <v>-29346</v>
      </c>
      <c r="B107" s="2" t="s">
        <v>718</v>
      </c>
      <c r="C107" s="2" t="s">
        <v>10070</v>
      </c>
      <c r="D107" s="3">
        <v>8</v>
      </c>
      <c r="E107" s="3">
        <v>23</v>
      </c>
      <c r="F107" s="3" t="str">
        <f>HYPERLINK("https://www.boe.es/gazeta/dias/1819/08/26/pdfs/GMD-1819-103.pdf","Abrir PDF")</f>
        <v>Abrir PDF</v>
      </c>
    </row>
    <row r="108" spans="1:6" ht="31.05" customHeight="1">
      <c r="A108" s="6">
        <v>-29344</v>
      </c>
      <c r="B108" s="2" t="s">
        <v>1865</v>
      </c>
      <c r="C108" s="2" t="s">
        <v>10071</v>
      </c>
      <c r="D108" s="3">
        <v>8</v>
      </c>
      <c r="E108" s="3">
        <v>8</v>
      </c>
      <c r="F108" s="3" t="str">
        <f>HYPERLINK("https://www.boe.es/gazeta/dias/1819/08/28/pdfs/GMD-1819-104.pdf","Abrir PDF")</f>
        <v>Abrir PDF</v>
      </c>
    </row>
    <row r="109" spans="1:6" ht="31.05" customHeight="1">
      <c r="A109" s="6">
        <v>-29341</v>
      </c>
      <c r="B109" s="2" t="s">
        <v>806</v>
      </c>
      <c r="C109" s="2" t="s">
        <v>10072</v>
      </c>
      <c r="D109" s="3">
        <v>8</v>
      </c>
      <c r="E109" s="3">
        <v>15</v>
      </c>
      <c r="F109" s="3" t="str">
        <f>HYPERLINK("https://www.boe.es/gazeta/dias/1819/08/31/pdfs/GMD-1819-105.pdf","Abrir PDF")</f>
        <v>Abrir PDF</v>
      </c>
    </row>
    <row r="110" spans="1:6" ht="31.05" customHeight="1">
      <c r="A110" s="6">
        <v>-29339</v>
      </c>
      <c r="B110" s="2" t="s">
        <v>549</v>
      </c>
      <c r="C110" s="2" t="s">
        <v>10073</v>
      </c>
      <c r="D110" s="3">
        <v>2</v>
      </c>
      <c r="E110" s="3">
        <v>2</v>
      </c>
      <c r="F110" s="3" t="str">
        <f>HYPERLINK("https://www.boe.es/gazeta/dias/1819/09/02/pdfs/GMD-1819-107E.pdf","Abrir PDF")</f>
        <v>Abrir PDF</v>
      </c>
    </row>
    <row r="111" spans="1:6" ht="31.05" customHeight="1">
      <c r="A111" s="6">
        <v>-29337</v>
      </c>
      <c r="B111" s="2" t="s">
        <v>1098</v>
      </c>
      <c r="C111" s="2" t="s">
        <v>10074</v>
      </c>
      <c r="D111" s="3">
        <v>8</v>
      </c>
      <c r="E111" s="3">
        <v>25</v>
      </c>
      <c r="F111" s="3" t="str">
        <f>HYPERLINK("https://www.boe.es/gazeta/dias/1819/09/04/pdfs/GMD-1819-108.pdf","Abrir PDF")</f>
        <v>Abrir PDF</v>
      </c>
    </row>
    <row r="112" spans="1:6" ht="31.05" customHeight="1">
      <c r="A112" s="6">
        <v>-29334</v>
      </c>
      <c r="B112" s="2" t="s">
        <v>3082</v>
      </c>
      <c r="C112" s="2" t="s">
        <v>10075</v>
      </c>
      <c r="D112" s="3">
        <v>8</v>
      </c>
      <c r="E112" s="3">
        <v>14</v>
      </c>
      <c r="F112" s="3" t="str">
        <f>HYPERLINK("https://www.boe.es/gazeta/dias/1819/09/07/pdfs/GMD-1819-109.pdf","Abrir PDF")</f>
        <v>Abrir PDF</v>
      </c>
    </row>
    <row r="113" spans="1:6" ht="31.05" customHeight="1">
      <c r="A113" s="6">
        <v>-29332</v>
      </c>
      <c r="B113" s="2" t="s">
        <v>499</v>
      </c>
      <c r="C113" s="2" t="s">
        <v>10076</v>
      </c>
      <c r="D113" s="3">
        <v>8</v>
      </c>
      <c r="E113" s="3">
        <v>23</v>
      </c>
      <c r="F113" s="3" t="str">
        <f>HYPERLINK("https://www.boe.es/gazeta/dias/1819/09/09/pdfs/GMD-1819-110.pdf","Abrir PDF")</f>
        <v>Abrir PDF</v>
      </c>
    </row>
    <row r="114" spans="1:6" ht="31.05" customHeight="1">
      <c r="A114" s="6">
        <v>-29330</v>
      </c>
      <c r="B114" s="2" t="s">
        <v>1406</v>
      </c>
      <c r="C114" s="2" t="s">
        <v>10077</v>
      </c>
      <c r="D114" s="3">
        <v>8</v>
      </c>
      <c r="E114" s="3">
        <v>10</v>
      </c>
      <c r="F114" s="3" t="str">
        <f>HYPERLINK("https://www.boe.es/gazeta/dias/1819/09/11/pdfs/GMD-1819-111.pdf","Abrir PDF")</f>
        <v>Abrir PDF</v>
      </c>
    </row>
    <row r="115" spans="1:6" ht="31.05" customHeight="1">
      <c r="A115" s="6">
        <v>-29327</v>
      </c>
      <c r="B115" s="2" t="s">
        <v>620</v>
      </c>
      <c r="C115" s="2" t="s">
        <v>10078</v>
      </c>
      <c r="D115" s="3">
        <v>8</v>
      </c>
      <c r="E115" s="3">
        <v>16</v>
      </c>
      <c r="F115" s="3" t="str">
        <f>HYPERLINK("https://www.boe.es/gazeta/dias/1819/09/14/pdfs/GMD-1819-112.pdf","Abrir PDF")</f>
        <v>Abrir PDF</v>
      </c>
    </row>
    <row r="116" spans="1:6" ht="31.05" customHeight="1">
      <c r="A116" s="6">
        <v>-29325</v>
      </c>
      <c r="B116" s="2" t="s">
        <v>174</v>
      </c>
      <c r="C116" s="2" t="s">
        <v>10079</v>
      </c>
      <c r="D116" s="3">
        <v>8</v>
      </c>
      <c r="E116" s="3">
        <v>38</v>
      </c>
      <c r="F116" s="3" t="str">
        <f>HYPERLINK("https://www.boe.es/gazeta/dias/1819/09/16/pdfs/GMD-1819-113.pdf","Abrir PDF")</f>
        <v>Abrir PDF</v>
      </c>
    </row>
    <row r="117" spans="1:6" ht="31.05" customHeight="1">
      <c r="A117" s="6">
        <v>-29324</v>
      </c>
      <c r="B117" s="2" t="s">
        <v>914</v>
      </c>
      <c r="C117" s="2" t="s">
        <v>10080</v>
      </c>
      <c r="D117" s="3">
        <v>4</v>
      </c>
      <c r="E117" s="3">
        <v>26</v>
      </c>
      <c r="F117" s="3" t="str">
        <f>HYPERLINK("https://www.boe.es/gazeta/dias/1819/09/17/pdfs/GMD-1819-114E.pdf","Abrir PDF")</f>
        <v>Abrir PDF</v>
      </c>
    </row>
    <row r="118" spans="1:6" ht="31.05" customHeight="1">
      <c r="A118" s="6">
        <v>-29323</v>
      </c>
      <c r="B118" s="2" t="s">
        <v>270</v>
      </c>
      <c r="C118" s="2" t="s">
        <v>10081</v>
      </c>
      <c r="D118" s="3">
        <v>8</v>
      </c>
      <c r="E118" s="3">
        <v>12</v>
      </c>
      <c r="F118" s="3" t="str">
        <f>HYPERLINK("https://www.boe.es/gazeta/dias/1819/09/18/pdfs/GMD-1819-115.pdf","Abrir PDF")</f>
        <v>Abrir PDF</v>
      </c>
    </row>
    <row r="119" spans="1:6" ht="31.05" customHeight="1">
      <c r="A119" s="6">
        <v>-29320</v>
      </c>
      <c r="B119" s="2" t="s">
        <v>690</v>
      </c>
      <c r="C119" s="2" t="s">
        <v>10082</v>
      </c>
      <c r="D119" s="3">
        <v>8</v>
      </c>
      <c r="E119" s="3">
        <v>13</v>
      </c>
      <c r="F119" s="3" t="str">
        <f>HYPERLINK("https://www.boe.es/gazeta/dias/1819/09/21/pdfs/GMD-1819-116.pdf","Abrir PDF")</f>
        <v>Abrir PDF</v>
      </c>
    </row>
    <row r="120" spans="1:6" ht="31.05" customHeight="1">
      <c r="A120" s="6">
        <v>-29318</v>
      </c>
      <c r="B120" s="2" t="s">
        <v>1442</v>
      </c>
      <c r="C120" s="2" t="s">
        <v>10083</v>
      </c>
      <c r="D120" s="3">
        <v>8</v>
      </c>
      <c r="E120" s="3">
        <v>12</v>
      </c>
      <c r="F120" s="3" t="str">
        <f>HYPERLINK("https://www.boe.es/gazeta/dias/1819/09/23/pdfs/GMD-1819-117.pdf","Abrir PDF")</f>
        <v>Abrir PDF</v>
      </c>
    </row>
    <row r="121" spans="1:6" ht="31.05" customHeight="1">
      <c r="A121" s="6">
        <v>-29316</v>
      </c>
      <c r="B121" s="2" t="s">
        <v>166</v>
      </c>
      <c r="C121" s="2" t="s">
        <v>10084</v>
      </c>
      <c r="D121" s="3">
        <v>12</v>
      </c>
      <c r="E121" s="3">
        <v>87</v>
      </c>
      <c r="F121" s="3" t="str">
        <f>HYPERLINK("https://www.boe.es/gazeta/dias/1819/09/25/pdfs/GMD-1819-118.pdf","Abrir PDF")</f>
        <v>Abrir PDF</v>
      </c>
    </row>
    <row r="122" spans="1:6" ht="31.05" customHeight="1">
      <c r="A122" s="6">
        <v>-29313</v>
      </c>
      <c r="B122" s="2" t="s">
        <v>129</v>
      </c>
      <c r="C122" s="2" t="s">
        <v>10085</v>
      </c>
      <c r="D122" s="3">
        <v>8</v>
      </c>
      <c r="E122" s="3">
        <v>11</v>
      </c>
      <c r="F122" s="3" t="str">
        <f>HYPERLINK("https://www.boe.es/gazeta/dias/1819/09/28/pdfs/GMD-1819-119.pdf","Abrir PDF")</f>
        <v>Abrir PDF</v>
      </c>
    </row>
    <row r="123" spans="1:6" ht="31.05" customHeight="1">
      <c r="A123" s="6">
        <v>-29311</v>
      </c>
      <c r="B123" s="2" t="s">
        <v>678</v>
      </c>
      <c r="C123" s="2" t="s">
        <v>10086</v>
      </c>
      <c r="D123" s="3">
        <v>8</v>
      </c>
      <c r="E123" s="3">
        <v>17</v>
      </c>
      <c r="F123" s="3" t="str">
        <f>HYPERLINK("https://www.boe.es/gazeta/dias/1819/09/30/pdfs/GMD-1819-120.pdf","Abrir PDF")</f>
        <v>Abrir PDF</v>
      </c>
    </row>
    <row r="124" spans="1:6" ht="31.05" customHeight="1">
      <c r="A124" s="6">
        <v>-29309</v>
      </c>
      <c r="B124" s="2" t="s">
        <v>476</v>
      </c>
      <c r="C124" s="2" t="s">
        <v>10087</v>
      </c>
      <c r="D124" s="3">
        <v>8</v>
      </c>
      <c r="E124" s="3">
        <v>22</v>
      </c>
      <c r="F124" s="3" t="str">
        <f>HYPERLINK("https://www.boe.es/gazeta/dias/1819/10/02/pdfs/GMD-1819-121.pdf","Abrir PDF")</f>
        <v>Abrir PDF</v>
      </c>
    </row>
    <row r="125" spans="1:6" ht="31.05" customHeight="1">
      <c r="A125" s="6">
        <v>-29306</v>
      </c>
      <c r="B125" s="2" t="s">
        <v>303</v>
      </c>
      <c r="C125" s="2" t="s">
        <v>10088</v>
      </c>
      <c r="D125" s="3">
        <v>8</v>
      </c>
      <c r="E125" s="3">
        <v>20</v>
      </c>
      <c r="F125" s="3" t="str">
        <f>HYPERLINK("https://www.boe.es/gazeta/dias/1819/10/05/pdfs/GMD-1819-122.pdf","Abrir PDF")</f>
        <v>Abrir PDF</v>
      </c>
    </row>
    <row r="126" spans="1:6" ht="31.05" customHeight="1">
      <c r="A126" s="6">
        <v>-29304</v>
      </c>
      <c r="B126" s="2" t="s">
        <v>519</v>
      </c>
      <c r="C126" s="2" t="s">
        <v>10089</v>
      </c>
      <c r="D126" s="3">
        <v>8</v>
      </c>
      <c r="E126" s="3">
        <v>32</v>
      </c>
      <c r="F126" s="3" t="str">
        <f>HYPERLINK("https://www.boe.es/gazeta/dias/1819/10/07/pdfs/GMD-1819-123.pdf","Abrir PDF")</f>
        <v>Abrir PDF</v>
      </c>
    </row>
    <row r="127" spans="1:6" ht="31.05" customHeight="1">
      <c r="A127" s="6">
        <v>-29302</v>
      </c>
      <c r="B127" s="2" t="s">
        <v>4877</v>
      </c>
      <c r="C127" s="2" t="s">
        <v>10090</v>
      </c>
      <c r="D127" s="3">
        <v>8</v>
      </c>
      <c r="E127" s="3">
        <v>6</v>
      </c>
      <c r="F127" s="3" t="str">
        <f>HYPERLINK("https://www.boe.es/gazeta/dias/1819/10/09/pdfs/GMD-1819-124.pdf","Abrir PDF")</f>
        <v>Abrir PDF</v>
      </c>
    </row>
    <row r="128" spans="1:6" ht="31.05" customHeight="1">
      <c r="A128" s="6">
        <v>-29299</v>
      </c>
      <c r="B128" s="2" t="s">
        <v>798</v>
      </c>
      <c r="C128" s="2" t="s">
        <v>10091</v>
      </c>
      <c r="D128" s="3">
        <v>8</v>
      </c>
      <c r="E128" s="3">
        <v>17</v>
      </c>
      <c r="F128" s="3" t="str">
        <f>HYPERLINK("https://www.boe.es/gazeta/dias/1819/10/12/pdfs/GMD-1819-125.pdf","Abrir PDF")</f>
        <v>Abrir PDF</v>
      </c>
    </row>
    <row r="129" spans="1:6" ht="31.05" customHeight="1">
      <c r="A129" s="6">
        <v>-29297</v>
      </c>
      <c r="B129" s="2" t="s">
        <v>82</v>
      </c>
      <c r="C129" s="2" t="s">
        <v>10092</v>
      </c>
      <c r="D129" s="3">
        <v>8</v>
      </c>
      <c r="E129" s="3">
        <v>58</v>
      </c>
      <c r="F129" s="3" t="str">
        <f>HYPERLINK("https://www.boe.es/gazeta/dias/1819/10/14/pdfs/GMD-1819-126.pdf","Abrir PDF")</f>
        <v>Abrir PDF</v>
      </c>
    </row>
    <row r="130" spans="1:6" ht="31.05" customHeight="1">
      <c r="A130" s="6">
        <v>-29295</v>
      </c>
      <c r="B130" s="2" t="s">
        <v>390</v>
      </c>
      <c r="C130" s="2" t="s">
        <v>10093</v>
      </c>
      <c r="D130" s="3">
        <v>8</v>
      </c>
      <c r="E130" s="3">
        <v>7</v>
      </c>
      <c r="F130" s="3" t="str">
        <f>HYPERLINK("https://www.boe.es/gazeta/dias/1819/10/16/pdfs/GMD-1819-127.pdf","Abrir PDF")</f>
        <v>Abrir PDF</v>
      </c>
    </row>
    <row r="131" spans="1:6" ht="31.05" customHeight="1">
      <c r="A131" s="6">
        <v>-29292</v>
      </c>
      <c r="B131" s="2" t="s">
        <v>875</v>
      </c>
      <c r="C131" s="2" t="s">
        <v>10094</v>
      </c>
      <c r="D131" s="3">
        <v>8</v>
      </c>
      <c r="E131" s="3">
        <v>37</v>
      </c>
      <c r="F131" s="3" t="str">
        <f>HYPERLINK("https://www.boe.es/gazeta/dias/1819/10/19/pdfs/GMD-1819-128.pdf","Abrir PDF")</f>
        <v>Abrir PDF</v>
      </c>
    </row>
    <row r="132" spans="1:6" ht="31.05" customHeight="1">
      <c r="A132" s="6">
        <v>-29290</v>
      </c>
      <c r="B132" s="2" t="s">
        <v>622</v>
      </c>
      <c r="C132" s="2" t="s">
        <v>10095</v>
      </c>
      <c r="D132" s="3">
        <v>8</v>
      </c>
      <c r="E132" s="3">
        <v>25</v>
      </c>
      <c r="F132" s="3" t="str">
        <f>HYPERLINK("https://www.boe.es/gazeta/dias/1819/10/21/pdfs/GMD-1819-129.pdf","Abrir PDF")</f>
        <v>Abrir PDF</v>
      </c>
    </row>
    <row r="133" spans="1:6" ht="31.05" customHeight="1">
      <c r="A133" s="6">
        <v>-29288</v>
      </c>
      <c r="B133" s="2" t="s">
        <v>334</v>
      </c>
      <c r="C133" s="2" t="s">
        <v>10096</v>
      </c>
      <c r="D133" s="3">
        <v>8</v>
      </c>
      <c r="E133" s="3">
        <v>18</v>
      </c>
      <c r="F133" s="3" t="str">
        <f>HYPERLINK("https://www.boe.es/gazeta/dias/1819/10/23/pdfs/GMD-1819-130.pdf","Abrir PDF")</f>
        <v>Abrir PDF</v>
      </c>
    </row>
    <row r="134" spans="1:6" ht="31.05" customHeight="1">
      <c r="A134" s="6">
        <v>-29287</v>
      </c>
      <c r="B134" s="2" t="s">
        <v>455</v>
      </c>
      <c r="C134" s="2" t="s">
        <v>10097</v>
      </c>
      <c r="D134" s="3">
        <v>10</v>
      </c>
      <c r="E134" s="3">
        <v>112</v>
      </c>
      <c r="F134" s="3" t="str">
        <f>HYPERLINK("https://www.boe.es/gazeta/dias/1819/10/24/pdfs/GMD-1819-131E.pdf","Abrir PDF")</f>
        <v>Abrir PDF</v>
      </c>
    </row>
    <row r="135" spans="1:6" ht="31.05" customHeight="1">
      <c r="A135" s="6">
        <v>-29285</v>
      </c>
      <c r="B135" s="2" t="s">
        <v>578</v>
      </c>
      <c r="C135" s="2" t="s">
        <v>10098</v>
      </c>
      <c r="D135" s="3">
        <v>8</v>
      </c>
      <c r="E135" s="3">
        <v>33</v>
      </c>
      <c r="F135" s="3" t="str">
        <f>HYPERLINK("https://www.boe.es/gazeta/dias/1819/10/26/pdfs/GMD-1819-132.pdf","Abrir PDF")</f>
        <v>Abrir PDF</v>
      </c>
    </row>
    <row r="136" spans="1:6" ht="31.05" customHeight="1">
      <c r="A136" s="6">
        <v>-29283</v>
      </c>
      <c r="B136" s="2" t="s">
        <v>863</v>
      </c>
      <c r="C136" s="2" t="s">
        <v>10099</v>
      </c>
      <c r="D136" s="3">
        <v>8</v>
      </c>
      <c r="E136" s="3">
        <v>6</v>
      </c>
      <c r="F136" s="3" t="str">
        <f>HYPERLINK("https://www.boe.es/gazeta/dias/1819/10/28/pdfs/GMD-1819-133.pdf","Abrir PDF")</f>
        <v>Abrir PDF</v>
      </c>
    </row>
    <row r="137" spans="1:6" ht="31.05" customHeight="1">
      <c r="A137" s="6">
        <v>-29281</v>
      </c>
      <c r="B137" s="2" t="s">
        <v>19</v>
      </c>
      <c r="C137" s="2" t="s">
        <v>10100</v>
      </c>
      <c r="D137" s="3">
        <v>12</v>
      </c>
      <c r="E137" s="3">
        <v>98</v>
      </c>
      <c r="F137" s="3" t="str">
        <f>HYPERLINK("https://www.boe.es/gazeta/dias/1819/10/30/pdfs/GMD-1819-134.pdf","Abrir PDF")</f>
        <v>Abrir PDF</v>
      </c>
    </row>
    <row r="138" spans="1:6" ht="31.05" customHeight="1">
      <c r="A138" s="6">
        <v>-29278</v>
      </c>
      <c r="B138" s="2" t="s">
        <v>1950</v>
      </c>
      <c r="C138" s="2" t="s">
        <v>10101</v>
      </c>
      <c r="D138" s="3">
        <v>8</v>
      </c>
      <c r="E138" s="3">
        <v>12</v>
      </c>
      <c r="F138" s="3" t="str">
        <f>HYPERLINK("https://www.boe.es/gazeta/dias/1819/11/02/pdfs/GMD-1819-135.pdf","Abrir PDF")</f>
        <v>Abrir PDF</v>
      </c>
    </row>
    <row r="139" spans="1:6" ht="31.05" customHeight="1">
      <c r="A139" s="6">
        <v>-29276</v>
      </c>
      <c r="B139" s="2" t="s">
        <v>54</v>
      </c>
      <c r="C139" s="2" t="s">
        <v>10102</v>
      </c>
      <c r="D139" s="3">
        <v>8</v>
      </c>
      <c r="E139" s="3">
        <v>69</v>
      </c>
      <c r="F139" s="3" t="str">
        <f>HYPERLINK("https://www.boe.es/gazeta/dias/1819/11/04/pdfs/GMD-1819-136.pdf","Abrir PDF")</f>
        <v>Abrir PDF</v>
      </c>
    </row>
    <row r="140" spans="1:6" ht="31.05" customHeight="1">
      <c r="A140" s="6">
        <v>-29274</v>
      </c>
      <c r="B140" s="2" t="s">
        <v>247</v>
      </c>
      <c r="C140" s="2" t="s">
        <v>10103</v>
      </c>
      <c r="D140" s="3">
        <v>8</v>
      </c>
      <c r="E140" s="3">
        <v>35</v>
      </c>
      <c r="F140" s="3" t="str">
        <f>HYPERLINK("https://www.boe.es/gazeta/dias/1819/11/06/pdfs/GMD-1819-137.pdf","Abrir PDF")</f>
        <v>Abrir PDF</v>
      </c>
    </row>
    <row r="141" spans="1:6" ht="31.05" customHeight="1">
      <c r="A141" s="6">
        <v>-29271</v>
      </c>
      <c r="B141" s="2" t="s">
        <v>32</v>
      </c>
      <c r="C141" s="2" t="s">
        <v>10104</v>
      </c>
      <c r="D141" s="3">
        <v>8</v>
      </c>
      <c r="E141" s="3">
        <v>83</v>
      </c>
      <c r="F141" s="3" t="str">
        <f>HYPERLINK("https://www.boe.es/gazeta/dias/1819/11/09/pdfs/GMD-1819-138.pdf","Abrir PDF")</f>
        <v>Abrir PDF</v>
      </c>
    </row>
    <row r="142" spans="1:6" ht="31.05" customHeight="1">
      <c r="A142" s="6">
        <v>-29269</v>
      </c>
      <c r="B142" s="2" t="s">
        <v>565</v>
      </c>
      <c r="C142" s="2" t="s">
        <v>10105</v>
      </c>
      <c r="D142" s="3">
        <v>8</v>
      </c>
      <c r="E142" s="3">
        <v>47</v>
      </c>
      <c r="F142" s="3" t="str">
        <f>HYPERLINK("https://www.boe.es/gazeta/dias/1819/11/11/pdfs/GMD-1819-139.pdf","Abrir PDF")</f>
        <v>Abrir PDF</v>
      </c>
    </row>
    <row r="143" spans="1:6" ht="31.05" customHeight="1">
      <c r="A143" s="6">
        <v>-29267</v>
      </c>
      <c r="B143" s="2" t="s">
        <v>370</v>
      </c>
      <c r="C143" s="2" t="s">
        <v>10106</v>
      </c>
      <c r="D143" s="3">
        <v>12</v>
      </c>
      <c r="E143" s="3">
        <v>48</v>
      </c>
      <c r="F143" s="3" t="str">
        <f>HYPERLINK("https://www.boe.es/gazeta/dias/1819/11/13/pdfs/GMD-1819-140.pdf","Abrir PDF")</f>
        <v>Abrir PDF</v>
      </c>
    </row>
    <row r="144" spans="1:6" ht="31.05" customHeight="1">
      <c r="A144" s="6">
        <v>-29264</v>
      </c>
      <c r="B144" s="2" t="s">
        <v>37</v>
      </c>
      <c r="C144" s="2" t="s">
        <v>10107</v>
      </c>
      <c r="D144" s="3">
        <v>12</v>
      </c>
      <c r="E144" s="3">
        <v>78</v>
      </c>
      <c r="F144" s="3" t="str">
        <f>HYPERLINK("https://www.boe.es/gazeta/dias/1819/11/16/pdfs/GMD-1819-141.pdf","Abrir PDF")</f>
        <v>Abrir PDF</v>
      </c>
    </row>
    <row r="145" spans="1:6" ht="31.05" customHeight="1">
      <c r="A145" s="6">
        <v>-29262</v>
      </c>
      <c r="B145" s="2" t="s">
        <v>1428</v>
      </c>
      <c r="C145" s="2" t="s">
        <v>10108</v>
      </c>
      <c r="D145" s="3">
        <v>8</v>
      </c>
      <c r="E145" s="3">
        <v>13</v>
      </c>
      <c r="F145" s="3" t="str">
        <f>HYPERLINK("https://www.boe.es/gazeta/dias/1819/11/18/pdfs/GMD-1819-142.pdf","Abrir PDF")</f>
        <v>Abrir PDF</v>
      </c>
    </row>
    <row r="146" spans="1:6" ht="31.05" customHeight="1">
      <c r="A146" s="6">
        <v>-29260</v>
      </c>
      <c r="B146" s="2" t="s">
        <v>93</v>
      </c>
      <c r="C146" s="2" t="s">
        <v>10109</v>
      </c>
      <c r="D146" s="3">
        <v>12</v>
      </c>
      <c r="E146" s="3">
        <v>74</v>
      </c>
      <c r="F146" s="3" t="str">
        <f>HYPERLINK("https://www.boe.es/gazeta/dias/1819/11/20/pdfs/GMD-1819-143.pdf","Abrir PDF")</f>
        <v>Abrir PDF</v>
      </c>
    </row>
    <row r="147" spans="1:6" ht="31.05" customHeight="1">
      <c r="A147" s="6">
        <v>-29257</v>
      </c>
      <c r="B147" s="2" t="s">
        <v>73</v>
      </c>
      <c r="C147" s="2" t="s">
        <v>10110</v>
      </c>
      <c r="D147" s="3">
        <v>12</v>
      </c>
      <c r="E147" s="3">
        <v>37</v>
      </c>
      <c r="F147" s="3" t="str">
        <f>HYPERLINK("https://www.boe.es/gazeta/dias/1819/11/23/pdfs/GMD-1819-144.pdf","Abrir PDF")</f>
        <v>Abrir PDF</v>
      </c>
    </row>
    <row r="148" spans="1:6" ht="31.05" customHeight="1">
      <c r="A148" s="6">
        <v>-29255</v>
      </c>
      <c r="B148" s="2" t="s">
        <v>357</v>
      </c>
      <c r="C148" s="2" t="s">
        <v>10111</v>
      </c>
      <c r="D148" s="3">
        <v>8</v>
      </c>
      <c r="E148" s="3">
        <v>22</v>
      </c>
      <c r="F148" s="3" t="str">
        <f>HYPERLINK("https://www.boe.es/gazeta/dias/1819/11/25/pdfs/GMD-1819-145.pdf","Abrir PDF")</f>
        <v>Abrir PDF</v>
      </c>
    </row>
    <row r="149" spans="1:6" ht="31.05" customHeight="1">
      <c r="A149" s="6">
        <v>-29253</v>
      </c>
      <c r="B149" s="2" t="s">
        <v>242</v>
      </c>
      <c r="C149" s="2" t="s">
        <v>10112</v>
      </c>
      <c r="D149" s="3">
        <v>8</v>
      </c>
      <c r="E149" s="3">
        <v>34</v>
      </c>
      <c r="F149" s="3" t="str">
        <f>HYPERLINK("https://www.boe.es/gazeta/dias/1819/11/27/pdfs/GMD-1819-146.pdf","Abrir PDF")</f>
        <v>Abrir PDF</v>
      </c>
    </row>
    <row r="150" spans="1:6" ht="31.05" customHeight="1">
      <c r="A150" s="6">
        <v>-29250</v>
      </c>
      <c r="B150" s="2" t="s">
        <v>312</v>
      </c>
      <c r="C150" s="2" t="s">
        <v>10113</v>
      </c>
      <c r="D150" s="3">
        <v>8</v>
      </c>
      <c r="E150" s="3">
        <v>20</v>
      </c>
      <c r="F150" s="3" t="str">
        <f>HYPERLINK("https://www.boe.es/gazeta/dias/1819/11/30/pdfs/GMD-1819-147.pdf","Abrir PDF")</f>
        <v>Abrir PDF</v>
      </c>
    </row>
    <row r="151" spans="1:6" ht="31.05" customHeight="1">
      <c r="A151" s="6">
        <v>-29248</v>
      </c>
      <c r="B151" s="2" t="s">
        <v>395</v>
      </c>
      <c r="C151" s="2" t="s">
        <v>10114</v>
      </c>
      <c r="D151" s="3">
        <v>12</v>
      </c>
      <c r="E151" s="3">
        <v>48</v>
      </c>
      <c r="F151" s="3" t="str">
        <f>HYPERLINK("https://www.boe.es/gazeta/dias/1819/12/02/pdfs/GMD-1819-148.pdf","Abrir PDF")</f>
        <v>Abrir PDF</v>
      </c>
    </row>
    <row r="152" spans="1:6" ht="31.05" customHeight="1">
      <c r="A152" s="6">
        <v>-29246</v>
      </c>
      <c r="B152" s="2" t="s">
        <v>494</v>
      </c>
      <c r="C152" s="2" t="s">
        <v>10115</v>
      </c>
      <c r="D152" s="3">
        <v>8</v>
      </c>
      <c r="E152" s="3">
        <v>22</v>
      </c>
      <c r="F152" s="3" t="str">
        <f>HYPERLINK("https://www.boe.es/gazeta/dias/1819/12/04/pdfs/GMD-1819-149.pdf","Abrir PDF")</f>
        <v>Abrir PDF</v>
      </c>
    </row>
    <row r="153" spans="1:6" ht="31.05" customHeight="1">
      <c r="A153" s="6">
        <v>-29243</v>
      </c>
      <c r="B153" s="2" t="s">
        <v>2099</v>
      </c>
      <c r="C153" s="2" t="s">
        <v>10116</v>
      </c>
      <c r="D153" s="3">
        <v>8</v>
      </c>
      <c r="E153" s="3">
        <v>19</v>
      </c>
      <c r="F153" s="3" t="str">
        <f>HYPERLINK("https://www.boe.es/gazeta/dias/1819/12/07/pdfs/GMD-1819-150.pdf","Abrir PDF")</f>
        <v>Abrir PDF</v>
      </c>
    </row>
    <row r="154" spans="1:6" ht="31.05" customHeight="1">
      <c r="A154" s="6">
        <v>-29241</v>
      </c>
      <c r="B154" s="2" t="s">
        <v>1382</v>
      </c>
      <c r="C154" s="2" t="s">
        <v>10117</v>
      </c>
      <c r="D154" s="3">
        <v>8</v>
      </c>
      <c r="E154" s="3">
        <v>23</v>
      </c>
      <c r="F154" s="3" t="str">
        <f>HYPERLINK("https://www.boe.es/gazeta/dias/1819/12/09/pdfs/GMD-1819-151.pdf","Abrir PDF")</f>
        <v>Abrir PDF</v>
      </c>
    </row>
    <row r="155" spans="1:6" ht="31.05" customHeight="1">
      <c r="A155" s="6">
        <v>-29239</v>
      </c>
      <c r="B155" s="2" t="s">
        <v>724</v>
      </c>
      <c r="C155" s="2" t="s">
        <v>10118</v>
      </c>
      <c r="D155" s="3">
        <v>8</v>
      </c>
      <c r="E155" s="3">
        <v>14</v>
      </c>
      <c r="F155" s="3" t="str">
        <f>HYPERLINK("https://www.boe.es/gazeta/dias/1819/12/11/pdfs/GMD-1819-152.pdf","Abrir PDF")</f>
        <v>Abrir PDF</v>
      </c>
    </row>
    <row r="156" spans="1:6" ht="31.05" customHeight="1">
      <c r="A156" s="6">
        <v>-29236</v>
      </c>
      <c r="B156" s="2" t="s">
        <v>379</v>
      </c>
      <c r="C156" s="2" t="s">
        <v>10119</v>
      </c>
      <c r="D156" s="3">
        <v>8</v>
      </c>
      <c r="E156" s="3">
        <v>23</v>
      </c>
      <c r="F156" s="3" t="str">
        <f>HYPERLINK("https://www.boe.es/gazeta/dias/1819/12/14/pdfs/GMD-1819-153.pdf","Abrir PDF")</f>
        <v>Abrir PDF</v>
      </c>
    </row>
    <row r="157" spans="1:6" ht="31.05" customHeight="1">
      <c r="A157" s="6">
        <v>-29234</v>
      </c>
      <c r="B157" s="2" t="s">
        <v>343</v>
      </c>
      <c r="C157" s="2" t="s">
        <v>10120</v>
      </c>
      <c r="D157" s="3">
        <v>8</v>
      </c>
      <c r="E157" s="3">
        <v>17</v>
      </c>
      <c r="F157" s="3" t="str">
        <f>HYPERLINK("https://www.boe.es/gazeta/dias/1819/12/16/pdfs/GMD-1819-154.pdf","Abrir PDF")</f>
        <v>Abrir PDF</v>
      </c>
    </row>
    <row r="158" spans="1:6" ht="31.05" customHeight="1">
      <c r="A158" s="6">
        <v>-29232</v>
      </c>
      <c r="B158" s="2" t="s">
        <v>752</v>
      </c>
      <c r="C158" s="2" t="s">
        <v>10121</v>
      </c>
      <c r="D158" s="3">
        <v>8</v>
      </c>
      <c r="E158" s="3">
        <v>11</v>
      </c>
      <c r="F158" s="3" t="str">
        <f>HYPERLINK("https://www.boe.es/gazeta/dias/1819/12/18/pdfs/GMD-1819-155.pdf","Abrir PDF")</f>
        <v>Abrir PDF</v>
      </c>
    </row>
    <row r="159" spans="1:6" ht="31.05" customHeight="1">
      <c r="A159" s="6">
        <v>-29229</v>
      </c>
      <c r="B159" s="2" t="s">
        <v>44</v>
      </c>
      <c r="C159" s="2" t="s">
        <v>10122</v>
      </c>
      <c r="D159" s="3">
        <v>8</v>
      </c>
      <c r="E159" s="3">
        <v>27</v>
      </c>
      <c r="F159" s="3" t="str">
        <f>HYPERLINK("https://www.boe.es/gazeta/dias/1819/12/21/pdfs/GMD-1819-156.pdf","Abrir PDF")</f>
        <v>Abrir PDF</v>
      </c>
    </row>
    <row r="160" spans="1:6" ht="31.05" customHeight="1">
      <c r="A160" s="6">
        <v>-29227</v>
      </c>
      <c r="B160" s="2" t="s">
        <v>98</v>
      </c>
      <c r="C160" s="2" t="s">
        <v>10123</v>
      </c>
      <c r="D160" s="3">
        <v>8</v>
      </c>
      <c r="E160" s="3">
        <v>12</v>
      </c>
      <c r="F160" s="3" t="str">
        <f>HYPERLINK("https://www.boe.es/gazeta/dias/1819/12/23/pdfs/GMD-1819-157.pdf","Abrir PDF")</f>
        <v>Abrir PDF</v>
      </c>
    </row>
    <row r="161" spans="1:6" ht="31.05" customHeight="1">
      <c r="A161" s="6">
        <v>-29225</v>
      </c>
      <c r="B161" s="2" t="s">
        <v>472</v>
      </c>
      <c r="C161" s="2" t="s">
        <v>10124</v>
      </c>
      <c r="D161" s="3">
        <v>8</v>
      </c>
      <c r="E161" s="3">
        <v>23</v>
      </c>
      <c r="F161" s="3" t="str">
        <f>HYPERLINK("https://www.boe.es/gazeta/dias/1819/12/25/pdfs/GMD-1819-158.pdf","Abrir PDF")</f>
        <v>Abrir PDF</v>
      </c>
    </row>
    <row r="162" spans="1:6" ht="31.05" customHeight="1">
      <c r="A162" s="6">
        <v>-29222</v>
      </c>
      <c r="B162" s="2" t="s">
        <v>338</v>
      </c>
      <c r="C162" s="2" t="s">
        <v>10125</v>
      </c>
      <c r="D162" s="3">
        <v>8</v>
      </c>
      <c r="E162" s="3">
        <v>30</v>
      </c>
      <c r="F162" s="3" t="str">
        <f>HYPERLINK("https://www.boe.es/gazeta/dias/1819/12/28/pdfs/GMD-1819-159.pdf","Abrir PDF")</f>
        <v>Abrir PDF</v>
      </c>
    </row>
    <row r="163" spans="1:6" ht="31.05" customHeight="1">
      <c r="A163" s="6">
        <v>-29220</v>
      </c>
      <c r="B163" s="2" t="s">
        <v>397</v>
      </c>
      <c r="C163" s="2" t="s">
        <v>10126</v>
      </c>
      <c r="D163" s="3">
        <v>8</v>
      </c>
      <c r="E163" s="3">
        <v>22</v>
      </c>
      <c r="F163" s="3" t="str">
        <f>HYPERLINK("https://www.boe.es/gazeta/dias/1819/12/30/pdfs/GMD-1819-160.pdf","Abrir PDF")</f>
        <v>Abrir PDF</v>
      </c>
    </row>
    <row r="164" spans="1:6" ht="31.05" customHeight="1">
      <c r="A164" s="4"/>
      <c r="B164" s="2"/>
      <c r="C164" s="2"/>
      <c r="D164" s="3"/>
      <c r="E164" s="3"/>
      <c r="F164" s="3"/>
    </row>
    <row r="165" spans="1:6" ht="31.05" customHeight="1">
      <c r="A165" s="4"/>
      <c r="B165" s="2"/>
      <c r="C165" s="2"/>
      <c r="D165" s="3"/>
      <c r="E165" s="3"/>
      <c r="F165" s="3"/>
    </row>
    <row r="166" spans="1:6" ht="24" customHeight="1">
      <c r="A166" s="13" t="s">
        <v>10127</v>
      </c>
      <c r="B166" s="14"/>
      <c r="C166" s="14"/>
      <c r="D166" s="15"/>
      <c r="E166" s="15"/>
      <c r="F166" s="16"/>
    </row>
    <row r="167" spans="1:6" ht="42" customHeight="1">
      <c r="A167" s="7" t="s">
        <v>10128</v>
      </c>
      <c r="B167" s="17" t="s">
        <v>10129</v>
      </c>
      <c r="C167" s="17"/>
      <c r="D167" s="18"/>
      <c r="E167" s="18"/>
      <c r="F167" s="18"/>
    </row>
    <row r="168" spans="1:6" ht="42" customHeight="1">
      <c r="A168" s="7" t="s">
        <v>10130</v>
      </c>
      <c r="B168" s="17" t="s">
        <v>10131</v>
      </c>
      <c r="C168" s="17"/>
      <c r="D168" s="18"/>
      <c r="E168" s="18"/>
      <c r="F168" s="18"/>
    </row>
    <row r="169" spans="1:6" ht="42" customHeight="1">
      <c r="A169" s="7" t="s">
        <v>10132</v>
      </c>
      <c r="B169" s="17" t="s">
        <v>10133</v>
      </c>
      <c r="C169" s="17"/>
      <c r="D169" s="18"/>
      <c r="E169" s="18"/>
      <c r="F169" s="18"/>
    </row>
    <row r="170" spans="1:6" ht="42" customHeight="1">
      <c r="A170" s="7" t="s">
        <v>10134</v>
      </c>
      <c r="B170" s="17" t="s">
        <v>10135</v>
      </c>
      <c r="C170" s="17"/>
      <c r="D170" s="18"/>
      <c r="E170" s="18"/>
      <c r="F170" s="18"/>
    </row>
    <row r="171" spans="1:6" ht="42" customHeight="1">
      <c r="A171" s="7" t="s">
        <v>10136</v>
      </c>
      <c r="B171" s="17" t="s">
        <v>10137</v>
      </c>
      <c r="C171" s="17"/>
      <c r="D171" s="18"/>
      <c r="E171" s="18"/>
      <c r="F171" s="18"/>
    </row>
    <row r="172" spans="1:6" ht="42" customHeight="1">
      <c r="A172" s="7" t="s">
        <v>10</v>
      </c>
      <c r="B172" s="17" t="s">
        <v>10138</v>
      </c>
      <c r="C172" s="17"/>
      <c r="D172" s="18"/>
      <c r="E172" s="18"/>
      <c r="F172" s="18"/>
    </row>
    <row r="173" spans="1:6" ht="42" customHeight="1">
      <c r="A173" s="7" t="s">
        <v>10139</v>
      </c>
      <c r="B173" s="17" t="s">
        <v>10140</v>
      </c>
      <c r="C173" s="17"/>
      <c r="D173" s="18"/>
      <c r="E173" s="18"/>
      <c r="F173" s="18"/>
    </row>
    <row r="174" spans="1:6" ht="42" customHeight="1">
      <c r="A174" s="7" t="s">
        <v>10141</v>
      </c>
      <c r="B174" s="17" t="s">
        <v>10142</v>
      </c>
      <c r="C174" s="17"/>
      <c r="D174" s="18"/>
      <c r="E174" s="18"/>
      <c r="F174" s="18"/>
    </row>
    <row r="175" spans="1:6" ht="42" customHeight="1">
      <c r="A175" s="7" t="s">
        <v>10143</v>
      </c>
      <c r="B175" s="17" t="s">
        <v>10144</v>
      </c>
      <c r="C175" s="17"/>
      <c r="D175" s="18"/>
      <c r="E175" s="18"/>
      <c r="F175" s="18"/>
    </row>
    <row r="176" spans="1:6" ht="31.05" customHeight="1"/>
    <row r="177" ht="31.05" customHeight="1"/>
    <row r="178" ht="31.05" customHeight="1"/>
    <row r="179" ht="31.05" customHeight="1"/>
    <row r="180" ht="31.05" customHeight="1"/>
    <row r="181" ht="31.05" customHeight="1"/>
    <row r="182" ht="31.05" customHeight="1"/>
    <row r="183" ht="31.05" customHeight="1"/>
    <row r="184" ht="31.05" customHeight="1"/>
    <row r="185" ht="31.05" customHeight="1"/>
    <row r="186" ht="31.05" customHeight="1"/>
    <row r="187" ht="31.05" customHeight="1"/>
    <row r="188" ht="31.05" customHeight="1"/>
    <row r="189" ht="31.05" customHeight="1"/>
    <row r="190" ht="31.05" customHeight="1"/>
    <row r="191" ht="31.05" customHeight="1"/>
    <row r="192" ht="31.05" customHeight="1"/>
    <row r="193" ht="31.05" customHeight="1"/>
    <row r="194" ht="31.05" customHeight="1"/>
    <row r="195" ht="31.05" customHeight="1"/>
    <row r="196" ht="31.05" customHeight="1"/>
    <row r="197" ht="31.05" customHeight="1"/>
    <row r="198" ht="31.05" customHeight="1"/>
    <row r="199" ht="31.05" customHeight="1"/>
    <row r="200" ht="31.05" customHeight="1"/>
    <row r="201" ht="31.05" customHeight="1"/>
    <row r="202" ht="31.05" customHeight="1"/>
    <row r="203" ht="31.05" customHeight="1"/>
    <row r="204" ht="31.05" customHeight="1"/>
    <row r="205" ht="31.05" customHeight="1"/>
    <row r="206" ht="31.05" customHeight="1"/>
    <row r="207" ht="31.05" customHeight="1"/>
    <row r="208" ht="31.05" customHeight="1"/>
    <row r="209" ht="31.05" customHeight="1"/>
    <row r="210" ht="31.05" customHeight="1"/>
    <row r="211" ht="31.05" customHeight="1"/>
    <row r="212" ht="31.05" customHeight="1"/>
    <row r="213" ht="31.05" customHeight="1"/>
    <row r="214" ht="31.05" customHeight="1"/>
    <row r="215" ht="31.05" customHeight="1"/>
    <row r="216" ht="31.05" customHeight="1"/>
    <row r="217" ht="31.05" customHeight="1"/>
    <row r="218" ht="31.05" customHeight="1"/>
    <row r="219" ht="31.05" customHeight="1"/>
    <row r="220" ht="31.05" customHeight="1"/>
    <row r="221" ht="31.05" customHeight="1"/>
    <row r="222" ht="31.05" customHeight="1"/>
    <row r="223" ht="31.05" customHeight="1"/>
    <row r="224" ht="31.05" customHeight="1"/>
    <row r="225" ht="31.05" customHeight="1"/>
    <row r="226" ht="31.05" customHeight="1"/>
    <row r="227" ht="31.05" customHeight="1"/>
    <row r="228" ht="31.05" customHeight="1"/>
    <row r="229" ht="31.05" customHeight="1"/>
    <row r="230" ht="31.05" customHeight="1"/>
    <row r="231" ht="31.05" customHeight="1"/>
    <row r="232" ht="31.05" customHeight="1"/>
    <row r="233" ht="31.05" customHeight="1"/>
    <row r="234" ht="31.05" customHeight="1"/>
    <row r="235" ht="31.05" customHeight="1"/>
    <row r="236" ht="31.05" customHeight="1"/>
    <row r="237" ht="31.05" customHeight="1"/>
    <row r="238" ht="31.05" customHeight="1"/>
    <row r="239" ht="31.05" customHeight="1"/>
    <row r="240" ht="31.05" customHeight="1"/>
    <row r="241" ht="31.05" customHeight="1"/>
    <row r="242" ht="31.05" customHeight="1"/>
    <row r="243" ht="31.05" customHeight="1"/>
    <row r="244" ht="31.05" customHeight="1"/>
    <row r="245" ht="31.05" customHeight="1"/>
    <row r="246" ht="31.05" customHeight="1"/>
    <row r="247" ht="31.05" customHeight="1"/>
    <row r="248" ht="31.05" customHeight="1"/>
    <row r="249" ht="31.05" customHeight="1"/>
    <row r="250" ht="31.05" customHeight="1"/>
    <row r="251" ht="31.05" customHeight="1"/>
    <row r="252" ht="31.05" customHeight="1"/>
    <row r="253" ht="31.05" customHeight="1"/>
    <row r="254" ht="31.05" customHeight="1"/>
    <row r="255" ht="31.05" customHeight="1"/>
    <row r="256" ht="31.05" customHeight="1"/>
    <row r="257" ht="31.05" customHeight="1"/>
    <row r="258" ht="31.05" customHeight="1"/>
    <row r="259" ht="31.05" customHeight="1"/>
    <row r="260" ht="31.05" customHeight="1"/>
    <row r="261" ht="31.05" customHeight="1"/>
    <row r="262" ht="31.05" customHeight="1"/>
    <row r="263" ht="31.05" customHeight="1"/>
    <row r="264" ht="31.05" customHeight="1"/>
    <row r="265" ht="31.05" customHeight="1"/>
    <row r="266" ht="31.05" customHeight="1"/>
    <row r="267" ht="31.05" customHeight="1"/>
    <row r="268" ht="31.05" customHeight="1"/>
    <row r="269" ht="31.05" customHeight="1"/>
    <row r="270" ht="31.05" customHeight="1"/>
    <row r="271" ht="31.05" customHeight="1"/>
    <row r="272" ht="31.05" customHeight="1"/>
    <row r="273" ht="31.05" customHeight="1"/>
    <row r="274" ht="31.05" customHeight="1"/>
    <row r="275" ht="31.05" customHeight="1"/>
    <row r="276" ht="31.05" customHeight="1"/>
    <row r="277" ht="31.05" customHeight="1"/>
    <row r="278" ht="31.05" customHeight="1"/>
    <row r="279" ht="31.05" customHeight="1"/>
    <row r="280" ht="31.05" customHeight="1"/>
    <row r="281" ht="31.05" customHeight="1"/>
    <row r="282" ht="31.05" customHeight="1"/>
    <row r="283" ht="31.05" customHeight="1"/>
    <row r="284" ht="31.05" customHeight="1"/>
    <row r="285" ht="31.05" customHeight="1"/>
    <row r="286" ht="31.05" customHeight="1"/>
    <row r="287" ht="31.05" customHeight="1"/>
    <row r="288" ht="31.05" customHeight="1"/>
    <row r="289" ht="31.05" customHeight="1"/>
    <row r="290" ht="31.05" customHeight="1"/>
    <row r="291" ht="31.05" customHeight="1"/>
    <row r="292" ht="31.05" customHeight="1"/>
    <row r="293" ht="31.05" customHeight="1"/>
    <row r="294" ht="31.05" customHeight="1"/>
    <row r="295" ht="31.05" customHeight="1"/>
    <row r="296" ht="31.05" customHeight="1"/>
    <row r="297" ht="31.05" customHeight="1"/>
    <row r="298" ht="31.05" customHeight="1"/>
    <row r="299" ht="31.05" customHeight="1"/>
    <row r="300" ht="31.05" customHeight="1"/>
    <row r="301" ht="31.05" customHeight="1"/>
    <row r="302" ht="31.05" customHeight="1"/>
    <row r="303" ht="31.05" customHeight="1"/>
    <row r="304" ht="31.05" customHeight="1"/>
    <row r="305" ht="31.05" customHeight="1"/>
    <row r="306" ht="31.05" customHeight="1"/>
    <row r="307" ht="31.05" customHeight="1"/>
    <row r="308" ht="31.05" customHeight="1"/>
    <row r="309" ht="31.05" customHeight="1"/>
    <row r="310" ht="31.05" customHeight="1"/>
    <row r="311" ht="31.05" customHeight="1"/>
    <row r="312" ht="31.05" customHeight="1"/>
    <row r="313" ht="31.05" customHeight="1"/>
    <row r="314" ht="31.05" customHeight="1"/>
    <row r="315" ht="31.05" customHeight="1"/>
    <row r="316" ht="31.05" customHeight="1"/>
    <row r="317" ht="31.05" customHeight="1"/>
    <row r="318" ht="31.05" customHeight="1"/>
    <row r="319" ht="31.05" customHeight="1"/>
    <row r="320" ht="31.05" customHeight="1"/>
    <row r="321" ht="31.05" customHeight="1"/>
    <row r="322" ht="31.05" customHeight="1"/>
    <row r="323" ht="31.05" customHeight="1"/>
    <row r="324" ht="31.05" customHeight="1"/>
    <row r="325" ht="31.05" customHeight="1"/>
    <row r="326" ht="31.05" customHeight="1"/>
    <row r="327" ht="31.05" customHeight="1"/>
    <row r="328" ht="31.05" customHeight="1"/>
    <row r="329" ht="31.05" customHeight="1"/>
    <row r="330" ht="31.05" customHeight="1"/>
    <row r="331" ht="31.05" customHeight="1"/>
    <row r="332" ht="31.05" customHeight="1"/>
    <row r="333" ht="31.05" customHeight="1"/>
    <row r="334" ht="31.05" customHeight="1"/>
    <row r="335" ht="31.05" customHeight="1"/>
    <row r="336" ht="31.05" customHeight="1"/>
    <row r="337" ht="31.05" customHeight="1"/>
    <row r="338" ht="31.05" customHeight="1"/>
    <row r="339" ht="31.05" customHeight="1"/>
    <row r="340" ht="31.05" customHeight="1"/>
    <row r="341" ht="31.05" customHeight="1"/>
    <row r="342" ht="31.05" customHeight="1"/>
    <row r="343" ht="31.05" customHeight="1"/>
    <row r="344" ht="31.05" customHeight="1"/>
    <row r="345" ht="31.05" customHeight="1"/>
    <row r="346" ht="31.05" customHeight="1"/>
    <row r="347" ht="31.05" customHeight="1"/>
    <row r="348" ht="31.05" customHeight="1"/>
    <row r="349" ht="31.05" customHeight="1"/>
    <row r="350" ht="31.05" customHeight="1"/>
    <row r="351" ht="31.05" customHeight="1"/>
    <row r="352" ht="31.05" customHeight="1"/>
    <row r="353" ht="31.05" customHeight="1"/>
    <row r="354" ht="31.05" customHeight="1"/>
    <row r="355" ht="31.05" customHeight="1"/>
    <row r="356" ht="31.05" customHeight="1"/>
    <row r="357" ht="31.05" customHeight="1"/>
    <row r="358" ht="31.05" customHeight="1"/>
    <row r="359" ht="31.05" customHeight="1"/>
    <row r="360" ht="31.05" customHeight="1"/>
    <row r="361" ht="31.05" customHeight="1"/>
    <row r="362" ht="31.05" customHeight="1"/>
    <row r="363" ht="31.05" customHeight="1"/>
    <row r="364" ht="31.05" customHeight="1"/>
    <row r="365" ht="31.05" customHeight="1"/>
    <row r="366" ht="31.05" customHeight="1"/>
    <row r="367" ht="31.05" customHeight="1"/>
    <row r="368" ht="31.05" customHeight="1"/>
    <row r="369" ht="31.05" customHeight="1"/>
    <row r="370" ht="31.05" customHeight="1"/>
    <row r="371" ht="31.05" customHeight="1"/>
    <row r="372" ht="31.05" customHeight="1"/>
    <row r="373" ht="31.05" customHeight="1"/>
    <row r="374" ht="31.05" customHeight="1"/>
    <row r="375" ht="31.05" customHeight="1"/>
    <row r="376" ht="31.05" customHeight="1"/>
    <row r="377" ht="31.05" customHeight="1"/>
    <row r="378" ht="31.05" customHeight="1"/>
    <row r="379" ht="31.05" customHeight="1"/>
    <row r="380" ht="31.05" customHeight="1"/>
    <row r="381" ht="31.05" customHeight="1"/>
    <row r="382" ht="31.05" customHeight="1"/>
    <row r="383" ht="31.05" customHeight="1"/>
    <row r="384" ht="31.05" customHeight="1"/>
    <row r="385" ht="31.05" customHeight="1"/>
    <row r="386" ht="31.05" customHeight="1"/>
    <row r="387" ht="31.05" customHeight="1"/>
    <row r="388" ht="31.05" customHeight="1"/>
    <row r="389" ht="31.05" customHeight="1"/>
    <row r="390" ht="31.05" customHeight="1"/>
    <row r="391" ht="31.05" customHeight="1"/>
    <row r="392" ht="31.05" customHeight="1"/>
    <row r="393" ht="31.05" customHeight="1"/>
    <row r="394" ht="31.05" customHeight="1"/>
    <row r="395" ht="31.05" customHeight="1"/>
    <row r="396" ht="31.05" customHeight="1"/>
    <row r="397" ht="31.05" customHeight="1"/>
    <row r="398" ht="31.05" customHeight="1"/>
    <row r="399" ht="31.05" customHeight="1"/>
    <row r="400" ht="31.05" customHeight="1"/>
    <row r="401" ht="31.05" customHeight="1"/>
    <row r="402" ht="31.05" customHeight="1"/>
    <row r="403" ht="31.05" customHeight="1"/>
    <row r="404" ht="31.05" customHeight="1"/>
    <row r="405" ht="31.05" customHeight="1"/>
    <row r="406" ht="31.05" customHeight="1"/>
    <row r="407" ht="31.05" customHeight="1"/>
    <row r="408" ht="31.05" customHeight="1"/>
    <row r="409" ht="31.05" customHeight="1"/>
    <row r="410" ht="31.05" customHeight="1"/>
    <row r="411" ht="31.05" customHeight="1"/>
    <row r="412" ht="31.05" customHeight="1"/>
    <row r="413" ht="31.05" customHeight="1"/>
    <row r="414" ht="31.05" customHeight="1"/>
    <row r="415" ht="31.05" customHeight="1"/>
    <row r="416" ht="31.05" customHeight="1"/>
    <row r="417" ht="31.05" customHeight="1"/>
    <row r="418" ht="31.05" customHeight="1"/>
    <row r="419" ht="31.05" customHeight="1"/>
    <row r="420" ht="31.05" customHeight="1"/>
    <row r="421" ht="31.05" customHeight="1"/>
    <row r="422" ht="31.05" customHeight="1"/>
    <row r="423" ht="31.05" customHeight="1"/>
    <row r="424" ht="31.05" customHeight="1"/>
    <row r="425" ht="31.05" customHeight="1"/>
    <row r="426" ht="31.05" customHeight="1"/>
    <row r="427" ht="31.05" customHeight="1"/>
    <row r="428" ht="31.05" customHeight="1"/>
    <row r="429" ht="31.05" customHeight="1"/>
    <row r="430" ht="31.05" customHeight="1"/>
    <row r="431" ht="31.05" customHeight="1"/>
    <row r="432" ht="31.05" customHeight="1"/>
    <row r="433" ht="31.05" customHeight="1"/>
    <row r="434" ht="31.05" customHeight="1"/>
    <row r="435" ht="31.05" customHeight="1"/>
    <row r="436" ht="31.05" customHeight="1"/>
    <row r="437" ht="31.05" customHeight="1"/>
    <row r="438" ht="31.05" customHeight="1"/>
    <row r="439" ht="31.05" customHeight="1"/>
    <row r="440" ht="31.05" customHeight="1"/>
    <row r="441" ht="31.05" customHeight="1"/>
    <row r="442" ht="31.05" customHeight="1"/>
    <row r="443" ht="31.05" customHeight="1"/>
    <row r="444" ht="31.05" customHeight="1"/>
    <row r="445" ht="31.05" customHeight="1"/>
    <row r="446" ht="31.05" customHeight="1"/>
    <row r="447" ht="31.05" customHeight="1"/>
    <row r="448" ht="31.05" customHeight="1"/>
    <row r="449" ht="31.05" customHeight="1"/>
    <row r="450" ht="31.05" customHeight="1"/>
    <row r="451" ht="31.05" customHeight="1"/>
    <row r="452" ht="31.05" customHeight="1"/>
    <row r="453" ht="31.05" customHeight="1"/>
    <row r="454" ht="31.05" customHeight="1"/>
    <row r="455" ht="31.05" customHeight="1"/>
    <row r="456" ht="31.05" customHeight="1"/>
    <row r="457" ht="31.05" customHeight="1"/>
    <row r="458" ht="31.05" customHeight="1"/>
    <row r="459" ht="31.05" customHeight="1"/>
    <row r="460" ht="31.05" customHeight="1"/>
    <row r="461" ht="31.05" customHeight="1"/>
    <row r="462" ht="31.05" customHeight="1"/>
    <row r="463" ht="31.05" customHeight="1"/>
    <row r="464" ht="31.05" customHeight="1"/>
    <row r="465" ht="31.05" customHeight="1"/>
    <row r="466" ht="31.05" customHeight="1"/>
    <row r="467" ht="31.05" customHeight="1"/>
    <row r="468" ht="31.05" customHeight="1"/>
    <row r="469" ht="31.05" customHeight="1"/>
    <row r="470" ht="31.05" customHeight="1"/>
    <row r="471" ht="31.05" customHeight="1"/>
    <row r="472" ht="31.05" customHeight="1"/>
    <row r="473" ht="31.05" customHeight="1"/>
    <row r="474" ht="31.05" customHeight="1"/>
    <row r="475" ht="31.05" customHeight="1"/>
    <row r="476" ht="31.05" customHeight="1"/>
    <row r="477" ht="31.05" customHeight="1"/>
    <row r="478" ht="31.05" customHeight="1"/>
    <row r="479" ht="31.05" customHeight="1"/>
    <row r="480" ht="31.05" customHeight="1"/>
    <row r="481" ht="31.05" customHeight="1"/>
    <row r="482" ht="31.05" customHeight="1"/>
    <row r="483" ht="31.05" customHeight="1"/>
    <row r="484" ht="31.05" customHeight="1"/>
    <row r="485" ht="31.05" customHeight="1"/>
    <row r="486" ht="31.05" customHeight="1"/>
    <row r="487" ht="31.05" customHeight="1"/>
    <row r="488" ht="31.05" customHeight="1"/>
    <row r="489" ht="31.05" customHeight="1"/>
    <row r="490" ht="31.05" customHeight="1"/>
    <row r="491" ht="31.05" customHeight="1"/>
    <row r="492" ht="31.05" customHeight="1"/>
    <row r="495" ht="24" customHeight="1"/>
    <row r="496" ht="42" customHeight="1"/>
    <row r="497" ht="42" customHeight="1"/>
    <row r="498" ht="42" customHeight="1"/>
    <row r="499" ht="42" customHeight="1"/>
    <row r="500" ht="42" customHeight="1"/>
    <row r="501" ht="42" customHeight="1"/>
    <row r="502" ht="42" customHeight="1"/>
    <row r="503" ht="42" customHeight="1"/>
    <row r="504" ht="42" customHeight="1"/>
  </sheetData>
  <mergeCells count="12">
    <mergeCell ref="B174:F174"/>
    <mergeCell ref="B175:F175"/>
    <mergeCell ref="B169:F169"/>
    <mergeCell ref="B170:F170"/>
    <mergeCell ref="B171:F171"/>
    <mergeCell ref="B172:F172"/>
    <mergeCell ref="B173:F173"/>
    <mergeCell ref="A1:F1"/>
    <mergeCell ref="A2:F2"/>
    <mergeCell ref="A166:F166"/>
    <mergeCell ref="B167:F167"/>
    <mergeCell ref="B168:F16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Índice anual</vt:lpstr>
      <vt:lpstr>Fuentes y criterio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Ignacio Koblischek</cp:lastModifiedBy>
  <dcterms:created xsi:type="dcterms:W3CDTF">2026-09-29T11:32:19Z</dcterms:created>
  <dcterms:modified xsi:type="dcterms:W3CDTF">2026-09-29T11:32:20Z</dcterms:modified>
</cp:coreProperties>
</file>